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64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"/>
      <sz val="11"/>
      <vertAlign val="subscript"/>
      <scheme val="minor"/>
    </font>
    <font>
      <name val="Calibri"/>
      <b val="1"/>
      <sz val="11"/>
    </font>
    <font>
      <name val="Calibri"/>
      <sz val="11"/>
    </font>
    <font>
      <name val="Calibri"/>
      <sz val="11"/>
      <u val="single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0" fillId="2" borderId="0" pivotButton="0" quotePrefix="0" xfId="0"/>
    <xf numFmtId="164" fontId="0" fillId="0" borderId="0" pivotButton="0" quotePrefix="0" xfId="0"/>
    <xf numFmtId="164" fontId="0" fillId="2" borderId="0" pivotButton="0" quotePrefix="0" xfId="0"/>
    <xf numFmtId="1" fontId="0" fillId="2" borderId="0" pivotButton="0" quotePrefix="0" xfId="0"/>
    <xf numFmtId="0" fontId="1" fillId="0" borderId="0" pivotButton="0" quotePrefix="0" xfId="1"/>
    <xf numFmtId="0" fontId="2" fillId="3" borderId="0" applyAlignment="1" pivotButton="0" quotePrefix="0" xfId="0">
      <alignment horizontal="center" vertical="center" wrapText="1"/>
    </xf>
    <xf numFmtId="0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0" fontId="1" fillId="0" borderId="0" pivotButton="0" quotePrefix="0" xfId="1"/>
    <xf numFmtId="0" fontId="0" fillId="4" borderId="0" pivotButton="0" quotePrefix="0" xfId="0"/>
    <xf numFmtId="164" fontId="0" fillId="4" borderId="0" pivotButton="0" quotePrefix="0" xfId="0"/>
    <xf numFmtId="1" fontId="0" fillId="4" borderId="0" pivotButton="0" quotePrefix="0" xfId="0"/>
    <xf numFmtId="0" fontId="1" fillId="4" borderId="0" pivotButton="0" quotePrefix="0" xfId="1"/>
    <xf numFmtId="0" fontId="6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164" fontId="6" fillId="0" borderId="0" pivotButton="0" quotePrefix="0" xfId="0"/>
    <xf numFmtId="1" fontId="6" fillId="0" borderId="0" pivotButton="0" quotePrefix="0" xfId="0"/>
    <xf numFmtId="0" fontId="7" fillId="0" borderId="0" pivotButton="0" quotePrefix="0" xfId="1"/>
    <xf numFmtId="2" fontId="6" fillId="0" borderId="0" pivotButton="0" quotePrefix="0" xfId="0"/>
  </cellXfs>
  <cellStyles count="2">
    <cellStyle name="Standard" xfId="0" builtinId="0"/>
    <cellStyle name="Link" xfId="1" builtinId="8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9" tint="-0.249946592608417"/>
      </font>
    </dxf>
    <dxf>
      <font>
        <color rgb="FFFF00FF"/>
      </font>
    </dxf>
    <dxf>
      <font>
        <color rgb="FF1426AC"/>
      </font>
    </dxf>
    <dxf>
      <font>
        <color theme="6" tint="-0.249946592608417"/>
      </font>
    </dxf>
    <dxf>
      <font>
        <color rgb="FF00B050"/>
      </font>
    </dxf>
    <dxf>
      <font>
        <color theme="8"/>
      </font>
    </dxf>
    <dxf>
      <font>
        <color rgb="FF7030A0"/>
      </font>
    </dxf>
    <dxf>
      <font>
        <color rgb="FF9C248E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7"/>
  <sheetViews>
    <sheetView tabSelected="1" zoomScale="90" zoomScaleNormal="90" workbookViewId="0">
      <pane ySplit="1" topLeftCell="A2" activePane="bottomLeft" state="frozen"/>
      <selection pane="bottomLeft" activeCell="J2" sqref="J1:J1048576"/>
    </sheetView>
  </sheetViews>
  <sheetFormatPr baseColWidth="10" defaultColWidth="9.140625" defaultRowHeight="15"/>
  <cols>
    <col width="16.7109375" bestFit="1" customWidth="1" style="17" min="2" max="2"/>
    <col width="9.5703125" customWidth="1" style="17" min="6" max="6"/>
    <col width="45.42578125" bestFit="1" customWidth="1" style="17" min="8" max="8"/>
    <col width="41.140625" bestFit="1" customWidth="1" style="17" min="10" max="10"/>
    <col width="18.28515625" bestFit="1" customWidth="1" style="17" min="11" max="11"/>
    <col width="18.42578125" bestFit="1" customWidth="1" style="17" min="12" max="12"/>
    <col width="18.140625" bestFit="1" customWidth="1" style="17" min="13" max="13"/>
    <col width="18.42578125" bestFit="1" customWidth="1" style="17" min="14" max="14"/>
  </cols>
  <sheetData>
    <row r="1" ht="53.45" customFormat="1" customHeight="1" s="8">
      <c r="A1" s="18" t="inlineStr">
        <is>
          <t>ID</t>
        </is>
      </c>
      <c r="B1" s="18" t="inlineStr">
        <is>
          <t>PV Technology</t>
        </is>
      </c>
      <c r="C1" s="18" t="inlineStr">
        <is>
          <t>Eg</t>
        </is>
      </c>
      <c r="D1" s="18" t="inlineStr">
        <is>
          <t>PCE (%)</t>
        </is>
      </c>
      <c r="E1" s="18" t="inlineStr">
        <is>
          <t>Voc (mV)</t>
        </is>
      </c>
      <c r="F1" s="18" t="inlineStr">
        <is>
          <t>Jsc (mA/cm²)</t>
        </is>
      </c>
      <c r="G1" s="18" t="inlineStr">
        <is>
          <t>FF (%)</t>
        </is>
      </c>
      <c r="H1" s="18" t="inlineStr">
        <is>
          <t>Absorber</t>
        </is>
      </c>
      <c r="I1" s="18" t="inlineStr">
        <is>
          <t>Certified</t>
        </is>
      </c>
      <c r="J1" s="18" t="inlineStr">
        <is>
          <t>Reference</t>
        </is>
      </c>
      <c r="K1" s="18" t="inlineStr">
        <is>
          <t>Notable exception a: certified unpublished</t>
        </is>
      </c>
      <c r="L1" s="18" t="inlineStr">
        <is>
          <t>Notable exception b: large area</t>
        </is>
      </c>
      <c r="M1" s="18" t="inlineStr">
        <is>
          <t>Notable exception c:  material highlight</t>
        </is>
      </c>
      <c r="N1" s="18" t="inlineStr">
        <is>
          <t>Notable exception d: other</t>
        </is>
      </c>
    </row>
    <row r="2" ht="15" customFormat="1" customHeight="1" s="17">
      <c r="A2" s="17" t="n"/>
      <c r="B2" s="17" t="inlineStr">
        <is>
          <t>Silicon</t>
        </is>
      </c>
      <c r="C2" s="17" t="n">
        <v>1.11</v>
      </c>
      <c r="D2" s="19" t="n">
        <v>28.1</v>
      </c>
      <c r="E2" s="20" t="n">
        <v>748</v>
      </c>
      <c r="F2" s="19" t="n">
        <v>43.1</v>
      </c>
      <c r="G2" s="19" t="n">
        <v>87.3</v>
      </c>
      <c r="H2" s="17" t="inlineStr">
        <is>
          <t>Si</t>
        </is>
      </c>
      <c r="I2" s="17" t="b">
        <v>1</v>
      </c>
      <c r="J2" s="17">
        <f>HYPERLINK("https://doi.org/10.1016/j.joule.2026.102494","Green (2026)")</f>
        <v/>
      </c>
      <c r="K2" s="17" t="b">
        <v>1</v>
      </c>
      <c r="L2" s="17" t="b">
        <v>1</v>
      </c>
      <c r="M2" s="17" t="b">
        <v>0</v>
      </c>
      <c r="N2" s="17" t="b">
        <v>0</v>
      </c>
    </row>
    <row r="3" ht="15" customFormat="1" customHeight="1" s="17">
      <c r="A3" s="17" t="n"/>
      <c r="B3" s="17" t="inlineStr">
        <is>
          <t>Silicon</t>
        </is>
      </c>
      <c r="C3" s="17" t="n">
        <v>1.11</v>
      </c>
      <c r="D3" s="19" t="n">
        <v>27</v>
      </c>
      <c r="E3" s="20" t="n">
        <v>748</v>
      </c>
      <c r="F3" s="19" t="n">
        <v>41.4</v>
      </c>
      <c r="G3" s="19" t="n">
        <v>87.04937</v>
      </c>
      <c r="H3" s="17" t="inlineStr">
        <is>
          <t>Si</t>
        </is>
      </c>
      <c r="I3" s="17" t="b">
        <v>1</v>
      </c>
      <c r="J3" s="17">
        <f>HYPERLINK("https://doi.org/10.1038/s41467-025-64465-0","Xie (2025)")</f>
        <v/>
      </c>
      <c r="K3" s="17" t="n"/>
      <c r="L3" s="17" t="b">
        <v>1</v>
      </c>
      <c r="M3" s="17" t="n"/>
      <c r="N3" s="17" t="n"/>
    </row>
    <row r="4" ht="15" customFormat="1" customHeight="1" s="17">
      <c r="A4" s="17" t="n"/>
      <c r="B4" s="17" t="inlineStr">
        <is>
          <t>Silicon</t>
        </is>
      </c>
      <c r="C4" s="17" t="n">
        <v>1.11</v>
      </c>
      <c r="D4" s="19" t="n">
        <v>26.66</v>
      </c>
      <c r="E4" s="20" t="n">
        <v>744</v>
      </c>
      <c r="F4" s="19" t="n">
        <v>41.84</v>
      </c>
      <c r="G4" s="19" t="n">
        <v>85.64372</v>
      </c>
      <c r="H4" s="17" t="inlineStr">
        <is>
          <t>Si</t>
        </is>
      </c>
      <c r="I4" s="17" t="b">
        <v>1</v>
      </c>
      <c r="J4" s="17">
        <f>HYPERLINK("https://doi.org/10.1038/s41560-026-01982-2","Yang (2026)")</f>
        <v/>
      </c>
      <c r="K4" s="17" t="n"/>
      <c r="L4" s="17" t="b">
        <v>1</v>
      </c>
      <c r="M4" s="17" t="n"/>
      <c r="N4" s="17" t="n"/>
    </row>
    <row r="5" ht="15" customFormat="1" customHeight="1" s="17">
      <c r="A5" s="17" t="n"/>
      <c r="B5" s="17" t="inlineStr">
        <is>
          <t>CIGS</t>
        </is>
      </c>
      <c r="C5" s="17" t="n">
        <v>1.53</v>
      </c>
      <c r="D5" s="19" t="n">
        <v>15.5</v>
      </c>
      <c r="E5" s="20" t="n">
        <v>920</v>
      </c>
      <c r="F5" s="19" t="n">
        <v>23.4</v>
      </c>
      <c r="G5" s="19" t="n">
        <v>72.2</v>
      </c>
      <c r="H5" s="17" t="inlineStr">
        <is>
          <r>
            <rPr>
              <rFont val="Calibri"/>
              <sz val="11"/>
            </rPr>
            <t>Cu(In,Ga)S</t>
          </r>
          <r>
            <rPr>
              <rFont val="Calibri"/>
              <sz val="11"/>
              <vertAlign val="subscript"/>
            </rPr>
            <t>2</t>
          </r>
        </is>
      </c>
      <c r="I5" s="17" t="b">
        <v>0</v>
      </c>
      <c r="J5" s="17">
        <f>HYPERLINK("https://doi.org/10.1002/pip.3919","Green (2025)")</f>
        <v/>
      </c>
      <c r="K5" s="17" t="b">
        <v>0</v>
      </c>
      <c r="L5" s="17" t="b">
        <v>0</v>
      </c>
      <c r="M5" s="17" t="b">
        <v>0</v>
      </c>
      <c r="N5" s="17" t="b">
        <v>0</v>
      </c>
    </row>
    <row r="6" ht="15" customFormat="1" customHeight="1" s="17">
      <c r="A6" s="17" t="n"/>
      <c r="B6" s="17" t="inlineStr">
        <is>
          <t>CIGS</t>
        </is>
      </c>
      <c r="C6" s="17" t="n">
        <v>1.67</v>
      </c>
      <c r="D6" s="19" t="n">
        <v>12.3</v>
      </c>
      <c r="E6" s="20" t="n">
        <v>959</v>
      </c>
      <c r="F6" s="19" t="n">
        <v>17.6</v>
      </c>
      <c r="G6" s="19" t="n">
        <v>72.5</v>
      </c>
      <c r="H6" s="17" t="inlineStr">
        <is>
          <r>
            <rPr>
              <rFont val="Calibri"/>
              <sz val="11"/>
            </rPr>
            <t>Cu(In,Ga)S</t>
          </r>
          <r>
            <rPr>
              <rFont val="Calibri"/>
              <sz val="11"/>
              <vertAlign val="subscript"/>
            </rPr>
            <t>2</t>
          </r>
        </is>
      </c>
      <c r="I6" s="17" t="b">
        <v>0</v>
      </c>
      <c r="J6" s="17">
        <f>HYPERLINK("https://doi.org/10.1002/pip.3919","Green (2025)")</f>
        <v/>
      </c>
      <c r="K6" s="17" t="b">
        <v>0</v>
      </c>
      <c r="L6" s="17" t="b">
        <v>0</v>
      </c>
      <c r="M6" s="17" t="b">
        <v>0</v>
      </c>
      <c r="N6" s="17" t="b">
        <v>0</v>
      </c>
    </row>
    <row r="7" ht="15" customFormat="1" customHeight="1" s="17">
      <c r="A7" s="17" t="n"/>
      <c r="B7" s="17" t="inlineStr">
        <is>
          <t>CIGS</t>
        </is>
      </c>
      <c r="C7" s="17" t="n">
        <v>1.62</v>
      </c>
      <c r="D7" s="19" t="n">
        <v>15.7</v>
      </c>
      <c r="E7" s="20" t="n">
        <v>971</v>
      </c>
      <c r="F7" s="19" t="n">
        <v>22.1</v>
      </c>
      <c r="G7" s="19" t="n">
        <v>73.09999999999999</v>
      </c>
      <c r="H7" s="17" t="inlineStr">
        <is>
          <r>
            <rPr>
              <rFont val="Calibri"/>
              <sz val="11"/>
            </rPr>
            <t>Cu(In,Ga)S</t>
          </r>
          <r>
            <rPr>
              <rFont val="Calibri"/>
              <sz val="11"/>
              <vertAlign val="subscript"/>
            </rPr>
            <t>2</t>
          </r>
        </is>
      </c>
      <c r="I7" s="17" t="b">
        <v>0</v>
      </c>
      <c r="J7" s="17">
        <f>HYPERLINK("https://doi.org/10.1002/pip.70033","Valluvar Oli (2026)")</f>
        <v/>
      </c>
      <c r="K7" s="17" t="b">
        <v>0</v>
      </c>
      <c r="L7" s="17" t="b">
        <v>0</v>
      </c>
      <c r="M7" s="17" t="b">
        <v>0</v>
      </c>
      <c r="N7" s="17" t="b">
        <v>0</v>
      </c>
    </row>
    <row r="8" ht="15" customFormat="1" customHeight="1" s="17">
      <c r="A8" s="17" t="n"/>
      <c r="B8" s="17" t="inlineStr">
        <is>
          <t>Perovskite</t>
        </is>
      </c>
      <c r="C8" s="17" t="n">
        <v>1.65</v>
      </c>
      <c r="D8" s="19" t="n">
        <v>23.2</v>
      </c>
      <c r="E8" s="20" t="n">
        <v>1227</v>
      </c>
      <c r="F8" s="19" t="n">
        <v>22.3</v>
      </c>
      <c r="G8" s="19" t="n">
        <v>84.59999999999999</v>
      </c>
      <c r="H8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)Pb(I</t>
          </r>
          <r>
            <rPr>
              <rFont val="Calibri"/>
              <sz val="11"/>
              <vertAlign val="subscript"/>
            </rPr>
            <t>0.88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8" s="17" t="b">
        <v>0</v>
      </c>
      <c r="J8" s="17">
        <f>HYPERLINK("https://doi.org/10.1038/s41467-026-70848-8","Shi (2026)")</f>
        <v/>
      </c>
      <c r="K8" s="17" t="b">
        <v>0</v>
      </c>
      <c r="L8" s="17" t="b">
        <v>0</v>
      </c>
      <c r="M8" s="17" t="b">
        <v>0</v>
      </c>
      <c r="N8" s="17" t="b">
        <v>0</v>
      </c>
    </row>
    <row r="9" ht="15" customFormat="1" customHeight="1" s="17">
      <c r="A9" s="17" t="n"/>
      <c r="B9" s="17" t="inlineStr">
        <is>
          <t>Perovskite</t>
        </is>
      </c>
      <c r="C9" s="17" t="n">
        <v>1.52</v>
      </c>
      <c r="D9" s="19" t="n">
        <v>27.2</v>
      </c>
      <c r="E9" s="20" t="n">
        <v>1190</v>
      </c>
      <c r="F9" s="19" t="n">
        <v>26.7</v>
      </c>
      <c r="G9" s="19" t="n">
        <v>85.8</v>
      </c>
      <c r="H9" s="1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I9" s="17" t="b">
        <v>1</v>
      </c>
      <c r="J9" s="17">
        <f>HYPERLINK("https://doi.org/10.1038/s41560-026-02024-7","Li (2026)")</f>
        <v/>
      </c>
      <c r="K9" s="17" t="b">
        <v>0</v>
      </c>
      <c r="L9" s="17" t="b">
        <v>0</v>
      </c>
      <c r="M9" s="17" t="b">
        <v>0</v>
      </c>
      <c r="N9" s="17" t="b">
        <v>0</v>
      </c>
    </row>
    <row r="10" ht="15" customFormat="1" customHeight="1" s="17">
      <c r="A10" s="17" t="n"/>
      <c r="B10" s="17" t="inlineStr">
        <is>
          <t>Perovskite</t>
        </is>
      </c>
      <c r="C10" s="17" t="n">
        <v>1.55</v>
      </c>
      <c r="D10" s="19" t="n">
        <v>27.1</v>
      </c>
      <c r="E10" s="20" t="n">
        <v>1190</v>
      </c>
      <c r="F10" s="19" t="n">
        <v>26.2</v>
      </c>
      <c r="G10" s="19" t="n">
        <v>87.3</v>
      </c>
      <c r="H10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0" s="17" t="b">
        <v>1</v>
      </c>
      <c r="J10" s="21">
        <f>HYPERLINK("https://doi.org/10.1016/j.joule.2026.102380","Sun (2026)")</f>
        <v/>
      </c>
      <c r="K10" s="17" t="b">
        <v>1</v>
      </c>
      <c r="L10" s="17" t="b">
        <v>0</v>
      </c>
      <c r="M10" s="17" t="b">
        <v>0</v>
      </c>
      <c r="N10" s="17" t="b">
        <v>0</v>
      </c>
    </row>
    <row r="11" ht="15" customFormat="1" customHeight="1" s="17">
      <c r="A11" s="17" t="n"/>
      <c r="B11" s="17" t="inlineStr">
        <is>
          <t>Perovskite</t>
        </is>
      </c>
      <c r="C11" s="17" t="n">
        <v>1.57</v>
      </c>
      <c r="D11" s="19" t="n">
        <v>26.7</v>
      </c>
      <c r="E11" s="20" t="n">
        <v>1190</v>
      </c>
      <c r="F11" s="19" t="n">
        <v>25.9</v>
      </c>
      <c r="G11" s="19" t="n">
        <v>86.3</v>
      </c>
      <c r="H11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11" s="17" t="b">
        <v>0</v>
      </c>
      <c r="J11" s="17">
        <f>HYPERLINK("https://doi.org/10.1002/adma.202513600","Lv (2026)")</f>
        <v/>
      </c>
      <c r="K11" s="17" t="b">
        <v>0</v>
      </c>
      <c r="L11" s="17" t="b">
        <v>0</v>
      </c>
      <c r="M11" s="17" t="b">
        <v>0</v>
      </c>
      <c r="N11" s="17" t="b">
        <v>0</v>
      </c>
    </row>
    <row r="12" ht="15" customFormat="1" customHeight="1" s="17">
      <c r="A12" s="17" t="n"/>
      <c r="B12" s="17" t="inlineStr">
        <is>
          <t>Perovskite</t>
        </is>
      </c>
      <c r="C12" s="17" t="n">
        <v>1.67</v>
      </c>
      <c r="D12" s="19" t="n">
        <v>25</v>
      </c>
      <c r="E12" s="20" t="n">
        <v>1310</v>
      </c>
      <c r="F12" s="19" t="n">
        <v>22.2</v>
      </c>
      <c r="G12" s="19" t="n">
        <v>86.2</v>
      </c>
      <c r="H12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Rb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2.25</t>
          </r>
        </is>
      </c>
      <c r="I12" s="17" t="b">
        <v>1</v>
      </c>
      <c r="J12" s="17">
        <f>HYPERLINK("https://doi.org/10.1038/s41467-025-66480-7","Han (2025)")</f>
        <v/>
      </c>
      <c r="K12" s="17" t="b">
        <v>0</v>
      </c>
      <c r="L12" s="17" t="b">
        <v>0</v>
      </c>
      <c r="M12" s="17" t="b">
        <v>0</v>
      </c>
      <c r="N12" s="17" t="b">
        <v>0</v>
      </c>
    </row>
    <row r="13" ht="15" customFormat="1" customHeight="1" s="17">
      <c r="A13" s="17" t="n"/>
      <c r="B13" s="17" t="inlineStr">
        <is>
          <t>Perovskite</t>
        </is>
      </c>
      <c r="C13" s="17" t="n">
        <v>1.69</v>
      </c>
      <c r="D13" s="19" t="n">
        <v>23.5</v>
      </c>
      <c r="E13" s="20" t="n">
        <v>1290</v>
      </c>
      <c r="F13" s="19" t="n">
        <v>21.9</v>
      </c>
      <c r="G13" s="19" t="n">
        <v>83.2</v>
      </c>
      <c r="H13" s="1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I13" s="17" t="b">
        <v>1</v>
      </c>
      <c r="J13" s="17">
        <f>HYPERLINK("https://doi.org/10.1039/D5EE03984C","Luo (2025)")</f>
        <v/>
      </c>
      <c r="K13" s="17" t="b">
        <v>0</v>
      </c>
      <c r="L13" s="17" t="b">
        <v>0</v>
      </c>
      <c r="M13" s="17" t="b">
        <v>0</v>
      </c>
      <c r="N13" s="17" t="b">
        <v>0</v>
      </c>
    </row>
    <row r="14" ht="15" customFormat="1" customHeight="1" s="17">
      <c r="A14" s="17" t="n"/>
      <c r="B14" s="17" t="inlineStr">
        <is>
          <t>Perovskite</t>
        </is>
      </c>
      <c r="C14" s="17" t="n">
        <v>1.79</v>
      </c>
      <c r="D14" s="19" t="n">
        <v>20.8</v>
      </c>
      <c r="E14" s="20" t="n">
        <v>1370</v>
      </c>
      <c r="F14" s="19" t="n">
        <v>18.1</v>
      </c>
      <c r="G14" s="19" t="n">
        <v>83.59999999999999</v>
      </c>
      <c r="H14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I14" s="17" t="b">
        <v>0</v>
      </c>
      <c r="J14" s="17">
        <f>HYPERLINK("https://doi.org/10.1039/D4EE04029E","Wei (2025)")</f>
        <v/>
      </c>
      <c r="K14" s="17" t="b">
        <v>0</v>
      </c>
      <c r="L14" s="17" t="b">
        <v>0</v>
      </c>
      <c r="M14" s="17" t="b">
        <v>0</v>
      </c>
      <c r="N14" s="17" t="b">
        <v>0</v>
      </c>
    </row>
    <row r="15" ht="15" customFormat="1" customHeight="1" s="17">
      <c r="A15" s="17" t="n"/>
      <c r="B15" s="17" t="inlineStr">
        <is>
          <t>Perovskite</t>
        </is>
      </c>
      <c r="C15" s="17" t="n">
        <v>1.43</v>
      </c>
      <c r="D15" s="19" t="n">
        <v>27.2</v>
      </c>
      <c r="E15" s="20" t="n">
        <v>1170</v>
      </c>
      <c r="F15" s="19" t="n">
        <v>28.5</v>
      </c>
      <c r="G15" s="19" t="n">
        <v>81.7</v>
      </c>
      <c r="H15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2.85</t>
          </r>
          <r>
            <rPr>
              <rFont val="Calibri"/>
              <sz val="11"/>
            </rPr>
            <t>/</t>
          </r>
          <r>
            <rPr>
              <rFont val="Calibri"/>
              <sz val="11"/>
            </rPr>
            <t>PM1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Y7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61</t>
          </r>
          <r>
            <rPr>
              <rFont val="Calibri"/>
              <sz val="11"/>
            </rPr>
            <t>BM</t>
          </r>
        </is>
      </c>
      <c r="I15" s="17" t="b">
        <v>1</v>
      </c>
      <c r="J15" s="17">
        <f>HYPERLINK("https://doi.org/10.1038/s41560-026-02071-0","Lee (2026)")</f>
        <v/>
      </c>
      <c r="K15" s="17" t="b">
        <v>0</v>
      </c>
      <c r="L15" s="17" t="b">
        <v>0</v>
      </c>
      <c r="M15" s="17" t="b">
        <v>0</v>
      </c>
      <c r="N15" s="17" t="b">
        <v>0</v>
      </c>
    </row>
    <row r="16" ht="15" customFormat="1" customHeight="1" s="17">
      <c r="A16" s="17" t="n"/>
      <c r="B16" s="17" t="inlineStr">
        <is>
          <t>Perovskite</t>
        </is>
      </c>
      <c r="C16" s="17" t="n">
        <v>1.54</v>
      </c>
      <c r="D16" s="19" t="n">
        <v>28</v>
      </c>
      <c r="E16" s="20" t="n">
        <v>1200</v>
      </c>
      <c r="F16" s="19" t="n">
        <v>26.8</v>
      </c>
      <c r="G16" s="19" t="n">
        <v>87.3</v>
      </c>
      <c r="H16" s="17" t="inlineStr">
        <is>
          <t>N.A.</t>
        </is>
      </c>
      <c r="I16" s="17" t="b">
        <v>0</v>
      </c>
      <c r="J16" s="21">
        <f>HYPERLINK("https://doi.org/10.1016/j.joule.2026.102494","Green (2026)")</f>
        <v/>
      </c>
      <c r="K16" s="17" t="b">
        <v>1</v>
      </c>
      <c r="L16" s="17" t="b">
        <v>0</v>
      </c>
      <c r="M16" s="17" t="b">
        <v>0</v>
      </c>
      <c r="N16" s="17" t="b">
        <v>0</v>
      </c>
    </row>
    <row r="17" ht="15" customFormat="1" customHeight="1" s="17">
      <c r="A17" s="17" t="n"/>
      <c r="B17" s="17" t="inlineStr">
        <is>
          <t>Perovskite</t>
        </is>
      </c>
      <c r="C17" s="17" t="n">
        <v>1.53</v>
      </c>
      <c r="D17" s="19" t="n">
        <v>27.6</v>
      </c>
      <c r="E17" s="20" t="n">
        <v>1210</v>
      </c>
      <c r="F17" s="19" t="n">
        <v>26.5</v>
      </c>
      <c r="G17" s="19" t="n">
        <v>86.5</v>
      </c>
      <c r="H17" s="1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I17" s="17" t="b">
        <v>1</v>
      </c>
      <c r="J17" s="17">
        <f>HYPERLINK("https://doi.org/10.1126/science.aeb9953","Miao (2026)")</f>
        <v/>
      </c>
      <c r="K17" s="17" t="b">
        <v>0</v>
      </c>
      <c r="L17" s="17" t="b">
        <v>0</v>
      </c>
      <c r="M17" s="17" t="b">
        <v>0</v>
      </c>
      <c r="N17" s="17" t="b">
        <v>0</v>
      </c>
    </row>
    <row r="18" ht="15" customFormat="1" customHeight="1" s="17">
      <c r="A18" s="17" t="n"/>
      <c r="B18" s="17" t="inlineStr">
        <is>
          <t>Perovskite</t>
        </is>
      </c>
      <c r="C18" s="17" t="n">
        <v>1.52</v>
      </c>
      <c r="D18" s="19" t="n">
        <v>25.81</v>
      </c>
      <c r="E18" s="20" t="n">
        <v>1191</v>
      </c>
      <c r="F18" s="19" t="n">
        <v>26.58</v>
      </c>
      <c r="G18" s="19" t="n">
        <v>81.53</v>
      </c>
      <c r="H18" s="1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I18" s="17" t="b">
        <v>1</v>
      </c>
      <c r="J18" s="17">
        <f>HYPERLINK("https://doi.org/10.1038/s41560-026-02024-7","Li (2026)")</f>
        <v/>
      </c>
      <c r="K18" s="17" t="b">
        <v>0</v>
      </c>
      <c r="L18" s="17" t="b">
        <v>1</v>
      </c>
      <c r="M18" s="17" t="b">
        <v>0</v>
      </c>
      <c r="N18" s="17" t="b">
        <v>0</v>
      </c>
    </row>
    <row r="19" ht="15" customFormat="1" customHeight="1" s="17">
      <c r="A19" s="17" t="n"/>
      <c r="B19" s="17" t="inlineStr">
        <is>
          <t>Perovskite</t>
        </is>
      </c>
      <c r="C19" s="17" t="n">
        <v>1.47</v>
      </c>
      <c r="D19" s="19" t="n">
        <v>17.9</v>
      </c>
      <c r="E19" s="20" t="n">
        <v>990</v>
      </c>
      <c r="F19" s="19" t="n">
        <v>22.5</v>
      </c>
      <c r="G19" s="19" t="n">
        <v>80.40000000000001</v>
      </c>
      <c r="H19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PEA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SnI</t>
          </r>
          <r>
            <rPr>
              <rFont val="Calibri"/>
              <sz val="11"/>
              <vertAlign val="subscript"/>
            </rPr>
            <t>3</t>
          </r>
        </is>
      </c>
      <c r="I19" s="17" t="b">
        <v>1</v>
      </c>
      <c r="J19" s="21">
        <f>HYPERLINK("https://doi.org/10.1038/s41586-025-09724-2","Li (2025)")</f>
        <v/>
      </c>
      <c r="K19" s="17" t="b">
        <v>0</v>
      </c>
      <c r="L19" s="17" t="b">
        <v>0</v>
      </c>
      <c r="M19" s="17" t="b">
        <v>0</v>
      </c>
      <c r="N19" s="17" t="b">
        <v>0</v>
      </c>
    </row>
    <row r="20" ht="15" customFormat="1" customHeight="1" s="17">
      <c r="A20" s="17" t="n"/>
      <c r="B20" s="17" t="inlineStr">
        <is>
          <t>Perovskite</t>
        </is>
      </c>
      <c r="C20" s="17" t="n">
        <v>1.47</v>
      </c>
      <c r="D20" s="19" t="n">
        <v>14.4</v>
      </c>
      <c r="E20" s="20" t="n">
        <v>930</v>
      </c>
      <c r="F20" s="19" t="n">
        <v>21.2</v>
      </c>
      <c r="G20" s="19" t="n">
        <v>73</v>
      </c>
      <c r="H20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PEA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SnI</t>
          </r>
          <r>
            <rPr>
              <rFont val="Calibri"/>
              <sz val="11"/>
              <vertAlign val="subscript"/>
            </rPr>
            <t>3</t>
          </r>
        </is>
      </c>
      <c r="I20" s="17" t="b">
        <v>0</v>
      </c>
      <c r="J20" s="21">
        <f>HYPERLINK("https://doi.org/10.1038/s41586-025-09724-2","Li (2025)")</f>
        <v/>
      </c>
      <c r="K20" s="17" t="b">
        <v>0</v>
      </c>
      <c r="L20" s="17" t="b">
        <v>1</v>
      </c>
      <c r="M20" s="17" t="b">
        <v>0</v>
      </c>
      <c r="N20" s="17" t="b">
        <v>0</v>
      </c>
    </row>
    <row r="21" ht="15" customFormat="1" customHeight="1" s="17">
      <c r="A21" s="17" t="n"/>
      <c r="B21" s="17" t="inlineStr">
        <is>
          <t>Perovskite</t>
        </is>
      </c>
      <c r="C21" s="17" t="n">
        <v>1.85</v>
      </c>
      <c r="D21" s="19" t="n">
        <v>20.02</v>
      </c>
      <c r="E21" s="20" t="n">
        <v>1387</v>
      </c>
      <c r="F21" s="19" t="n">
        <v>16.6</v>
      </c>
      <c r="G21" s="19" t="n">
        <v>86.97</v>
      </c>
      <c r="H21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0.06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0.27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1.5</t>
          </r>
        </is>
      </c>
      <c r="I21" s="17" t="b">
        <v>0</v>
      </c>
      <c r="J21" s="21">
        <f>HYPERLINK("https://doi.org/10.1038/s41467-026-76786-9","Xie (2026)")</f>
        <v/>
      </c>
      <c r="K21" s="17" t="b">
        <v>0</v>
      </c>
      <c r="L21" s="17" t="b">
        <v>0</v>
      </c>
      <c r="M21" s="17" t="b">
        <v>0</v>
      </c>
      <c r="N21" s="17" t="b">
        <v>0</v>
      </c>
    </row>
    <row r="22" ht="15" customFormat="1" customHeight="1" s="17">
      <c r="A22" s="17" t="n"/>
      <c r="B22" s="17" t="inlineStr">
        <is>
          <t>Perovskite</t>
        </is>
      </c>
      <c r="C22" s="17" t="n">
        <v>1.55</v>
      </c>
      <c r="D22" s="19" t="n">
        <v>27</v>
      </c>
      <c r="E22" s="20" t="n">
        <v>1192</v>
      </c>
      <c r="F22" s="19" t="n">
        <v>26.2</v>
      </c>
      <c r="G22" s="19" t="n">
        <v>86.5</v>
      </c>
      <c r="H22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22" s="17" t="b">
        <v>1</v>
      </c>
      <c r="J22" s="21">
        <f>HYPERLINK("https://doi.org/10.1002/adma.202514735","Wang (2026)")</f>
        <v/>
      </c>
      <c r="K22" s="17" t="b">
        <v>0</v>
      </c>
      <c r="L22" s="17" t="b">
        <v>0</v>
      </c>
      <c r="M22" s="17" t="b">
        <v>0</v>
      </c>
      <c r="N22" s="17" t="b">
        <v>0</v>
      </c>
    </row>
    <row r="23" ht="15" customFormat="1" customHeight="1" s="17">
      <c r="A23" s="17" t="n"/>
      <c r="B23" s="17" t="inlineStr">
        <is>
          <t>Perovskite</t>
        </is>
      </c>
      <c r="C23" s="17" t="n">
        <v>1.54</v>
      </c>
      <c r="D23" s="19" t="n">
        <v>27</v>
      </c>
      <c r="E23" s="20" t="n">
        <v>1200</v>
      </c>
      <c r="F23" s="19" t="n">
        <v>26.3</v>
      </c>
      <c r="G23" s="19" t="n">
        <v>85.90000000000001</v>
      </c>
      <c r="H23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23" s="17" t="b">
        <v>0</v>
      </c>
      <c r="J23" s="21">
        <f>HYPERLINK("https://doi.org/10.1002/adma.202517596","Lu (2026)")</f>
        <v/>
      </c>
      <c r="K23" s="17" t="b">
        <v>0</v>
      </c>
      <c r="L23" s="17" t="b">
        <v>0</v>
      </c>
      <c r="M23" s="17" t="b">
        <v>0</v>
      </c>
      <c r="N23" s="17" t="b">
        <v>0</v>
      </c>
    </row>
    <row r="24" ht="15" customFormat="1" customHeight="1" s="17">
      <c r="A24" s="17" t="n"/>
      <c r="B24" s="17" t="inlineStr">
        <is>
          <t>Perovskite</t>
        </is>
      </c>
      <c r="C24" s="17" t="n">
        <v>1.82</v>
      </c>
      <c r="D24" s="19" t="n">
        <v>20.4</v>
      </c>
      <c r="E24" s="20" t="n">
        <v>1340</v>
      </c>
      <c r="F24" s="19" t="n">
        <v>18.03</v>
      </c>
      <c r="G24" s="19" t="n">
        <v>84.34999999999999</v>
      </c>
      <c r="H24" s="17" t="inlineStr">
        <is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1.4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1.6</t>
          </r>
        </is>
      </c>
      <c r="I24" s="17" t="b">
        <v>0</v>
      </c>
      <c r="J24" s="21">
        <f>HYPERLINK("https://doi.org/10.1038/s41467-025-68125-1","Jiang (2026)")</f>
        <v/>
      </c>
      <c r="K24" s="17" t="b">
        <v>0</v>
      </c>
      <c r="L24" s="17" t="b">
        <v>0</v>
      </c>
      <c r="M24" s="17" t="b">
        <v>0</v>
      </c>
      <c r="N24" s="17" t="b">
        <v>0</v>
      </c>
    </row>
    <row r="25" ht="15" customFormat="1" customHeight="1" s="17">
      <c r="A25" s="17" t="n"/>
      <c r="B25" s="17" t="inlineStr">
        <is>
          <t>Organic</t>
        </is>
      </c>
      <c r="C25" s="17" t="n">
        <v>1.26</v>
      </c>
      <c r="D25" s="19" t="n">
        <v>20.8</v>
      </c>
      <c r="E25" s="20" t="n">
        <v>931</v>
      </c>
      <c r="F25" s="19" t="n">
        <v>27.9</v>
      </c>
      <c r="G25" s="19" t="n">
        <v>80.2</v>
      </c>
      <c r="H25" s="17" t="inlineStr">
        <is>
          <t>D18-Cl:L8-BO:BrTh-2Cl</t>
        </is>
      </c>
      <c r="I25" s="17" t="b">
        <v>1</v>
      </c>
      <c r="J25" s="17">
        <f>HYPERLINK("https://doi.org/10.1002/adma.202521440","Li (2026)")</f>
        <v/>
      </c>
      <c r="K25" s="17" t="b">
        <v>0</v>
      </c>
      <c r="L25" s="17" t="b">
        <v>0</v>
      </c>
      <c r="M25" s="17" t="b">
        <v>0</v>
      </c>
      <c r="N25" s="17" t="b">
        <v>0</v>
      </c>
    </row>
    <row r="26" ht="15" customFormat="1" customHeight="1" s="17">
      <c r="A26" s="17" t="n"/>
      <c r="B26" s="17" t="inlineStr">
        <is>
          <t>Organic</t>
        </is>
      </c>
      <c r="C26" s="17" t="n">
        <v>1.38</v>
      </c>
      <c r="D26" s="19" t="n">
        <v>21.1</v>
      </c>
      <c r="E26" s="20" t="n">
        <v>888</v>
      </c>
      <c r="F26" s="19" t="n">
        <v>29</v>
      </c>
      <c r="G26" s="19" t="n">
        <v>82</v>
      </c>
      <c r="H26" s="17" t="inlineStr">
        <is>
          <t>D18:L8-BO:Qx-Se-NF</t>
        </is>
      </c>
      <c r="I26" s="17" t="b">
        <v>1</v>
      </c>
      <c r="J26" s="17">
        <f>HYPERLINK("https://doi.org/10.1038/s41563-026-02589-4","Tao (2026)")</f>
        <v/>
      </c>
      <c r="K26" s="17" t="b">
        <v>0</v>
      </c>
      <c r="L26" s="17" t="b">
        <v>0</v>
      </c>
      <c r="M26" s="17" t="b">
        <v>0</v>
      </c>
      <c r="N26" s="17" t="b">
        <v>0</v>
      </c>
    </row>
    <row r="27" ht="15" customFormat="1" customHeight="1" s="17">
      <c r="A27" s="17" t="n"/>
      <c r="B27" s="17" t="inlineStr">
        <is>
          <t>Organic</t>
        </is>
      </c>
      <c r="C27" s="17" t="n">
        <v>1.41</v>
      </c>
      <c r="D27" s="19" t="n">
        <v>21.1</v>
      </c>
      <c r="E27" s="20" t="n">
        <v>922</v>
      </c>
      <c r="F27" s="19" t="n">
        <v>28.6</v>
      </c>
      <c r="G27" s="19" t="n">
        <v>80</v>
      </c>
      <c r="H27" s="17" t="inlineStr">
        <is>
          <t>D18:L8-BO:BTP-eC9</t>
        </is>
      </c>
      <c r="I27" s="17" t="b">
        <v>0</v>
      </c>
      <c r="J27" s="17">
        <f>HYPERLINK("https://doi.org/10.1002/adma.202520669","Wang (2026)")</f>
        <v/>
      </c>
      <c r="K27" s="17" t="b">
        <v>0</v>
      </c>
      <c r="L27" s="17" t="b">
        <v>0</v>
      </c>
      <c r="M27" s="17" t="b">
        <v>0</v>
      </c>
      <c r="N27" s="17" t="b">
        <v>0</v>
      </c>
    </row>
    <row r="28" ht="15" customFormat="1" customHeight="1" s="17">
      <c r="A28" s="17" t="n"/>
      <c r="B28" s="17" t="inlineStr">
        <is>
          <t>Organic</t>
        </is>
      </c>
      <c r="C28" s="17" t="n">
        <v>1.45</v>
      </c>
      <c r="D28" s="19" t="n">
        <v>20.9</v>
      </c>
      <c r="E28" s="20" t="n">
        <v>932</v>
      </c>
      <c r="F28" s="19" t="n">
        <v>27.4</v>
      </c>
      <c r="G28" s="19" t="n">
        <v>81.59999999999999</v>
      </c>
      <c r="H28" s="17" t="inlineStr">
        <is>
          <t>D18:L8-BO:DY-TXT</t>
        </is>
      </c>
      <c r="I28" s="17" t="b">
        <v>0</v>
      </c>
      <c r="J28" s="17">
        <f>HYPERLINK("https://doi.org/10.1002/anie.202524341","Guo (2026)")</f>
        <v/>
      </c>
      <c r="K28" s="17" t="b">
        <v>0</v>
      </c>
      <c r="L28" s="17" t="b">
        <v>0</v>
      </c>
      <c r="M28" s="17" t="b">
        <v>0</v>
      </c>
      <c r="N28" s="17" t="b">
        <v>0</v>
      </c>
    </row>
    <row r="29" ht="15" customFormat="1" customHeight="1" s="17">
      <c r="A29" s="17" t="n"/>
      <c r="B29" s="17" t="inlineStr">
        <is>
          <t>Organic</t>
        </is>
      </c>
      <c r="C29" s="17" t="n">
        <v>1.49</v>
      </c>
      <c r="D29" s="19" t="n">
        <v>19.9</v>
      </c>
      <c r="E29" s="20" t="n">
        <v>938</v>
      </c>
      <c r="F29" s="19" t="n">
        <v>27.4</v>
      </c>
      <c r="G29" s="19" t="n">
        <v>77.3</v>
      </c>
      <c r="H29" s="17" t="inlineStr">
        <is>
          <t>D18-Cl/L8-BO + 1POE</t>
        </is>
      </c>
      <c r="I29" s="17" t="b">
        <v>0</v>
      </c>
      <c r="J29" s="17">
        <f>HYPERLINK("https://doi.org/10.1002/adma.202519367","Zhang (2026)")</f>
        <v/>
      </c>
      <c r="K29" s="17" t="b">
        <v>0</v>
      </c>
      <c r="L29" s="17" t="b">
        <v>0</v>
      </c>
      <c r="M29" s="17" t="b">
        <v>0</v>
      </c>
      <c r="N29" s="17" t="b">
        <v>0</v>
      </c>
    </row>
    <row r="30" ht="15" customFormat="1" customHeight="1" s="17">
      <c r="A30" s="17" t="n"/>
      <c r="B30" s="17" t="inlineStr">
        <is>
          <t>Organic</t>
        </is>
      </c>
      <c r="C30" s="17" t="n">
        <v>1.44</v>
      </c>
      <c r="D30" s="19" t="n">
        <v>19</v>
      </c>
      <c r="E30" s="20" t="n">
        <v>911</v>
      </c>
      <c r="F30" s="19" t="n">
        <v>28.1</v>
      </c>
      <c r="G30" s="19" t="n">
        <v>74.3</v>
      </c>
      <c r="H30" s="17" t="inlineStr">
        <is>
          <t>D18-L8BO-VIC</t>
        </is>
      </c>
      <c r="I30" s="17" t="b">
        <v>0</v>
      </c>
      <c r="J30" s="17">
        <f>HYPERLINK("https://doi.org/10.1038/s41467-026-70579-w","Wang (2026)")</f>
        <v/>
      </c>
      <c r="K30" s="17" t="b">
        <v>0</v>
      </c>
      <c r="L30" s="17" t="b">
        <v>0</v>
      </c>
      <c r="M30" s="17" t="b">
        <v>0</v>
      </c>
      <c r="N30" s="17" t="b">
        <v>0</v>
      </c>
    </row>
    <row r="31" ht="15" customFormat="1" customHeight="1" s="17">
      <c r="A31" s="17" t="n"/>
      <c r="B31" s="17" t="inlineStr">
        <is>
          <t>Organic</t>
        </is>
      </c>
      <c r="C31" s="17" t="n">
        <v>1.42</v>
      </c>
      <c r="D31" s="19" t="n">
        <v>20.5</v>
      </c>
      <c r="E31" s="20" t="n">
        <v>904</v>
      </c>
      <c r="F31" s="19" t="n">
        <v>27.8</v>
      </c>
      <c r="G31" s="19" t="n">
        <v>81.59999999999999</v>
      </c>
      <c r="H31" s="17" t="inlineStr">
        <is>
          <t>PM6:D18:L8BO-X</t>
        </is>
      </c>
      <c r="I31" s="17" t="b">
        <v>1</v>
      </c>
      <c r="J31" s="17">
        <f>HYPERLINK("https://doi.org/10.1002/adma.202514076","Duan (2026)")</f>
        <v/>
      </c>
      <c r="K31" s="17" t="b">
        <v>0</v>
      </c>
      <c r="L31" s="17" t="b">
        <v>0</v>
      </c>
      <c r="M31" s="17" t="b">
        <v>0</v>
      </c>
      <c r="N31" s="17" t="b">
        <v>0</v>
      </c>
    </row>
    <row r="32" ht="15" customFormat="1" customHeight="1" s="17">
      <c r="A32" s="17" t="n"/>
      <c r="B32" s="17" t="inlineStr">
        <is>
          <t>Dye-sensitized</t>
        </is>
      </c>
      <c r="C32" s="22" t="n">
        <v>1.9</v>
      </c>
      <c r="D32" s="19" t="n">
        <v>13.7</v>
      </c>
      <c r="E32" s="20" t="n">
        <v>1050</v>
      </c>
      <c r="F32" s="19" t="n">
        <v>15.9</v>
      </c>
      <c r="G32" s="19" t="n">
        <v>82.09999999999999</v>
      </c>
      <c r="H32" s="17" t="inlineStr">
        <is>
          <t>XY1b/ H7</t>
        </is>
      </c>
      <c r="I32" s="17" t="b">
        <v>0</v>
      </c>
      <c r="J32" s="17">
        <f>HYPERLINK("https://doi.org/10.1002/advs.202509116","Wu (2025)")</f>
        <v/>
      </c>
      <c r="K32" s="17" t="b">
        <v>0</v>
      </c>
      <c r="L32" s="17" t="b">
        <v>0</v>
      </c>
      <c r="M32" s="17" t="b">
        <v>0</v>
      </c>
      <c r="N32" s="17" t="b">
        <v>0</v>
      </c>
    </row>
    <row r="33" ht="15" customFormat="1" customHeight="1" s="17">
      <c r="A33" s="17" t="n"/>
      <c r="B33" s="17" t="inlineStr">
        <is>
          <t>Kesterite</t>
        </is>
      </c>
      <c r="C33" s="17" t="n">
        <v>1.06</v>
      </c>
      <c r="D33" s="19" t="n">
        <v>15.5</v>
      </c>
      <c r="E33" s="20" t="n">
        <v>530</v>
      </c>
      <c r="F33" s="19" t="n">
        <v>38.8</v>
      </c>
      <c r="G33" s="19" t="n">
        <v>75.40000000000001</v>
      </c>
      <c r="H33" s="17" t="inlineStr">
        <is>
          <r>
            <rPr>
              <rFont val="Calibri"/>
              <sz val="11"/>
            </rPr>
            <t>(Ag,Cu)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(Zn,Cd)Sn(S,Se)</t>
          </r>
          <r>
            <rPr>
              <rFont val="Calibri"/>
              <sz val="11"/>
              <vertAlign val="subscript"/>
            </rPr>
            <t>4</t>
          </r>
        </is>
      </c>
      <c r="I33" s="17" t="b">
        <v>1</v>
      </c>
      <c r="J33" s="21">
        <f>HYPERLINK("https://doi.org/10.1016/j.joule.2026.102345","Jiao (2026)")</f>
        <v/>
      </c>
      <c r="K33" s="17" t="b">
        <v>0</v>
      </c>
      <c r="L33" s="17" t="b">
        <v>0</v>
      </c>
      <c r="M33" s="17" t="b">
        <v>0</v>
      </c>
      <c r="N33" s="17" t="b">
        <v>0</v>
      </c>
    </row>
    <row r="34" ht="15" customFormat="1" customHeight="1" s="17">
      <c r="A34" s="17" t="n"/>
      <c r="B34" s="17" t="inlineStr">
        <is>
          <t>Kesterite</t>
        </is>
      </c>
      <c r="C34" s="17" t="n">
        <v>1.42</v>
      </c>
      <c r="D34" s="19" t="n">
        <v>13.2</v>
      </c>
      <c r="E34" s="20" t="n">
        <v>773</v>
      </c>
      <c r="F34" s="19" t="n">
        <v>24.7</v>
      </c>
      <c r="G34" s="19" t="n">
        <v>68.8</v>
      </c>
      <c r="H34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Cd</t>
          </r>
        </is>
      </c>
      <c r="I34" s="17" t="b">
        <v>1</v>
      </c>
      <c r="J34" s="17">
        <f>HYPERLINK("https://doi.org/10.1038/s41560-024-01681-w","Yin (2025)")</f>
        <v/>
      </c>
      <c r="K34" s="17" t="b">
        <v>0</v>
      </c>
      <c r="L34" s="17" t="b">
        <v>0</v>
      </c>
      <c r="M34" s="17" t="b">
        <v>0</v>
      </c>
      <c r="N34" s="17" t="b">
        <v>0</v>
      </c>
    </row>
    <row r="35" ht="15" customFormat="1" customHeight="1" s="17">
      <c r="A35" s="17" t="n"/>
      <c r="B35" s="17" t="inlineStr">
        <is>
          <t>Kesterite</t>
        </is>
      </c>
      <c r="C35" s="17" t="n">
        <v>1.59</v>
      </c>
      <c r="D35" s="19" t="n">
        <v>12.4</v>
      </c>
      <c r="E35" s="20" t="n">
        <v>847</v>
      </c>
      <c r="F35" s="19" t="n">
        <v>21</v>
      </c>
      <c r="G35" s="19" t="n">
        <v>69.7</v>
      </c>
      <c r="H35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35" s="17" t="b">
        <v>1</v>
      </c>
      <c r="J35" s="17">
        <f>HYPERLINK("https://doi.org/10.1038/s41560-026-02111-9","Wang (2026)")</f>
        <v/>
      </c>
      <c r="K35" s="17" t="b">
        <v>0</v>
      </c>
      <c r="L35" s="17" t="b">
        <v>0</v>
      </c>
      <c r="M35" s="17" t="b">
        <v>0</v>
      </c>
      <c r="N35" s="17" t="b">
        <v>0</v>
      </c>
    </row>
    <row r="36" ht="15" customFormat="1" customHeight="1" s="17">
      <c r="A36" s="17" t="n"/>
      <c r="B36" s="17" t="inlineStr">
        <is>
          <t>Kesterite</t>
        </is>
      </c>
      <c r="C36" s="17" t="n">
        <v>1.09</v>
      </c>
      <c r="D36" s="17" t="n">
        <v>14.2</v>
      </c>
      <c r="E36" s="20" t="n">
        <v>536</v>
      </c>
      <c r="F36" s="17" t="n">
        <v>37.8</v>
      </c>
      <c r="G36" s="17" t="n">
        <v>70.09999999999999</v>
      </c>
      <c r="H36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  <r>
            <rPr>
              <rFont val="Calibri"/>
              <sz val="11"/>
            </rPr>
            <t xml:space="preserve"> (Ag/(Ag+Cu) 0.10, Cd/(Cd+Zn) 0.06)</t>
          </r>
        </is>
      </c>
      <c r="I36" s="17" t="b">
        <v>1</v>
      </c>
      <c r="J36" s="21">
        <f>HYPERLINK("https://doi.org/10.1038/s41563-026-02703-6","Zhang (2026)")</f>
        <v/>
      </c>
      <c r="K36" s="17" t="b">
        <v>0</v>
      </c>
      <c r="L36" s="17" t="b">
        <v>1</v>
      </c>
      <c r="M36" s="17" t="b">
        <v>0</v>
      </c>
      <c r="N36" s="17" t="b">
        <v>0</v>
      </c>
    </row>
    <row r="37" ht="15" customFormat="1" customHeight="1" s="17">
      <c r="A37" s="17" t="n"/>
      <c r="B37" s="17" t="inlineStr">
        <is>
          <t>Kesterite</t>
        </is>
      </c>
      <c r="C37" s="17" t="n">
        <v>1.09</v>
      </c>
      <c r="D37" s="17" t="n">
        <v>15.4</v>
      </c>
      <c r="E37" s="20" t="n">
        <v>558</v>
      </c>
      <c r="F37" s="17" t="n">
        <v>37.4</v>
      </c>
      <c r="G37" s="17" t="n">
        <v>73.8</v>
      </c>
      <c r="H37" s="17" t="inlineStr">
        <is>
          <t xml:space="preserve"> CZTSSe</t>
        </is>
      </c>
      <c r="I37" s="17" t="b">
        <v>0</v>
      </c>
      <c r="J37" s="21">
        <f>HYPERLINK("https://doi.org/10.1038/s41560-025-01902-w","Wang (2025)")</f>
        <v/>
      </c>
      <c r="K37" s="17" t="b">
        <v>0</v>
      </c>
      <c r="L37" s="17" t="b">
        <v>1</v>
      </c>
      <c r="M37" s="17" t="b">
        <v>0</v>
      </c>
      <c r="N37" s="17" t="b">
        <v>0</v>
      </c>
    </row>
    <row r="38" ht="15" customFormat="1" customHeight="1" s="17">
      <c r="A38" s="17" t="n"/>
      <c r="B38" s="17" t="inlineStr">
        <is>
          <t>Sb-chalcogenide</t>
        </is>
      </c>
      <c r="C38" s="22" t="n">
        <v>1.7</v>
      </c>
      <c r="D38" s="19" t="n">
        <v>8.4</v>
      </c>
      <c r="E38" s="20" t="n">
        <v>734</v>
      </c>
      <c r="F38" s="19" t="n">
        <v>18.4</v>
      </c>
      <c r="G38" s="19" t="n">
        <v>62</v>
      </c>
      <c r="H38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</t>
          </r>
          <r>
            <rPr>
              <rFont val="Calibri"/>
              <sz val="11"/>
              <vertAlign val="subscript"/>
            </rPr>
            <t>3</t>
          </r>
        </is>
      </c>
      <c r="I38" s="17" t="b">
        <v>0</v>
      </c>
      <c r="J38" s="17">
        <f>HYPERLINK("https://doi.org/10.1002/aenm.202503358","Ke (2025)")</f>
        <v/>
      </c>
      <c r="K38" s="17" t="b">
        <v>0</v>
      </c>
      <c r="L38" s="17" t="b">
        <v>0</v>
      </c>
      <c r="M38" s="17" t="b">
        <v>0</v>
      </c>
      <c r="N38" s="17" t="b">
        <v>0</v>
      </c>
    </row>
    <row r="39" ht="15" customFormat="1" customHeight="1" s="17">
      <c r="A39" s="17" t="n"/>
      <c r="B39" s="17" t="inlineStr">
        <is>
          <t>Sb-chalcogenide</t>
        </is>
      </c>
      <c r="C39" s="17" t="n">
        <v>1.52</v>
      </c>
      <c r="D39" s="19" t="n">
        <v>11</v>
      </c>
      <c r="E39" s="20" t="n">
        <v>640</v>
      </c>
      <c r="F39" s="19" t="n">
        <v>25</v>
      </c>
      <c r="G39" s="19" t="n">
        <v>69</v>
      </c>
      <c r="H39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I39" s="17" t="b">
        <v>1</v>
      </c>
      <c r="J39" s="17">
        <f>HYPERLINK("https://doi.org/10.1038/s41560-025-01952-0","Qian (2026)")</f>
        <v/>
      </c>
      <c r="K39" s="17" t="b">
        <v>0</v>
      </c>
      <c r="L39" s="17" t="b">
        <v>0</v>
      </c>
      <c r="M39" s="17" t="b">
        <v>0</v>
      </c>
      <c r="N39" s="17" t="b">
        <v>0</v>
      </c>
    </row>
    <row r="40" ht="15" customFormat="1" customHeight="1" s="17">
      <c r="A40" s="17" t="n"/>
      <c r="B40" s="17" t="inlineStr">
        <is>
          <t>Silicon</t>
        </is>
      </c>
      <c r="C40" s="17" t="n">
        <v>1.1</v>
      </c>
      <c r="D40" s="19" t="n">
        <v>26.7</v>
      </c>
      <c r="E40" s="20" t="n">
        <v>738</v>
      </c>
      <c r="F40" s="19" t="n">
        <v>42.6</v>
      </c>
      <c r="G40" s="19" t="n">
        <v>84.90000000000001</v>
      </c>
      <c r="H40" s="17" t="inlineStr">
        <is>
          <t>Si</t>
        </is>
      </c>
      <c r="I40" s="17" t="b">
        <v>1</v>
      </c>
      <c r="J40" s="17">
        <f>HYPERLINK("https://doi.org/10.1002/pip.2909","Green (2017)")</f>
        <v/>
      </c>
      <c r="K40" s="17" t="b">
        <v>1</v>
      </c>
      <c r="L40" s="17" t="b">
        <v>1</v>
      </c>
      <c r="M40" s="17" t="b">
        <v>0</v>
      </c>
      <c r="N40" s="17" t="b">
        <v>0</v>
      </c>
    </row>
    <row r="41" ht="15" customFormat="1" customHeight="1" s="17">
      <c r="A41" s="17" t="n"/>
      <c r="B41" s="17" t="inlineStr">
        <is>
          <t>Silicon</t>
        </is>
      </c>
      <c r="C41" s="17" t="n">
        <v>1.18</v>
      </c>
      <c r="D41" s="19" t="n">
        <v>20</v>
      </c>
      <c r="E41" s="20" t="n">
        <v>706</v>
      </c>
      <c r="F41" s="19" t="n">
        <v>40.7</v>
      </c>
      <c r="G41" s="19" t="n">
        <v>69.7</v>
      </c>
      <c r="H41" s="17" t="inlineStr">
        <is>
          <t>Si</t>
        </is>
      </c>
      <c r="I41" s="17" t="b">
        <v>0</v>
      </c>
      <c r="J41" s="17">
        <f>HYPERLINK("https://doi.org/10.1016/j.solmat.2021.111453","Sun (2022)")</f>
        <v/>
      </c>
      <c r="K41" s="17" t="b">
        <v>0</v>
      </c>
      <c r="L41" s="17" t="b">
        <v>0</v>
      </c>
      <c r="M41" s="17" t="b">
        <v>0</v>
      </c>
      <c r="N41" s="17" t="b">
        <v>0</v>
      </c>
    </row>
    <row r="42" ht="15" customFormat="1" customHeight="1" s="17">
      <c r="A42" s="17" t="n"/>
      <c r="B42" s="17" t="inlineStr">
        <is>
          <t>Silicon</t>
        </is>
      </c>
      <c r="C42" s="17" t="n">
        <v>1.17</v>
      </c>
      <c r="D42" s="19" t="n">
        <v>21.6</v>
      </c>
      <c r="E42" s="20" t="n">
        <v>727</v>
      </c>
      <c r="F42" s="19" t="n">
        <v>40.4</v>
      </c>
      <c r="G42" s="19" t="n">
        <v>73.8</v>
      </c>
      <c r="H42" s="17" t="inlineStr">
        <is>
          <t>Si</t>
        </is>
      </c>
      <c r="I42" s="17" t="b">
        <v>0</v>
      </c>
      <c r="J42" s="17">
        <f>HYPERLINK("https://doi.org/10.1038/s41467-024-48290-5","Wu (2024)")</f>
        <v/>
      </c>
      <c r="K42" s="17" t="b">
        <v>0</v>
      </c>
      <c r="L42" s="17" t="b">
        <v>0</v>
      </c>
      <c r="M42" s="17" t="b">
        <v>0</v>
      </c>
      <c r="N42" s="17" t="b">
        <v>0</v>
      </c>
    </row>
    <row r="43" ht="15" customFormat="1" customHeight="1" s="17">
      <c r="A43" s="17" t="n"/>
      <c r="B43" s="17" t="inlineStr">
        <is>
          <t>Silicon</t>
        </is>
      </c>
      <c r="C43" s="17" t="n">
        <v>1.13</v>
      </c>
      <c r="D43" s="19" t="n">
        <v>21.4</v>
      </c>
      <c r="E43" s="20" t="n">
        <v>725</v>
      </c>
      <c r="F43" s="19" t="n">
        <v>37.3</v>
      </c>
      <c r="G43" s="19" t="n">
        <v>79.2</v>
      </c>
      <c r="H43" s="17" t="inlineStr">
        <is>
          <t>Si</t>
        </is>
      </c>
      <c r="I43" s="17" t="b">
        <v>0</v>
      </c>
      <c r="J43" s="17">
        <f>HYPERLINK("https://doi.org/10.1002/aenm.202303705","Prasetio (2024)")</f>
        <v/>
      </c>
      <c r="K43" s="17" t="b">
        <v>0</v>
      </c>
      <c r="L43" s="17" t="b">
        <v>0</v>
      </c>
      <c r="M43" s="17" t="b">
        <v>0</v>
      </c>
      <c r="N43" s="17" t="b">
        <v>0</v>
      </c>
    </row>
    <row r="44" ht="15" customFormat="1" customHeight="1" s="17">
      <c r="A44" s="17" t="n"/>
      <c r="B44" s="17" t="inlineStr">
        <is>
          <t>Silicon</t>
        </is>
      </c>
      <c r="C44" s="17" t="n">
        <v>1.12</v>
      </c>
      <c r="D44" s="19" t="n">
        <v>27.8</v>
      </c>
      <c r="E44" s="20" t="n">
        <v>745</v>
      </c>
      <c r="F44" s="19" t="n">
        <v>42.6</v>
      </c>
      <c r="G44" s="19" t="n">
        <v>87.59999999999999</v>
      </c>
      <c r="H44" s="17" t="inlineStr">
        <is>
          <t>Si</t>
        </is>
      </c>
      <c r="I44" s="17" t="b">
        <v>1</v>
      </c>
      <c r="J44" s="17">
        <f>HYPERLINK("https://doi.org/10.1002/pip.3919","Green (2025)")</f>
        <v/>
      </c>
      <c r="K44" s="17" t="b">
        <v>1</v>
      </c>
      <c r="L44" s="17" t="b">
        <v>1</v>
      </c>
      <c r="M44" s="17" t="b">
        <v>0</v>
      </c>
      <c r="N44" s="17" t="b">
        <v>0</v>
      </c>
    </row>
    <row r="45" ht="15" customFormat="1" customHeight="1" s="17">
      <c r="A45" s="17" t="n"/>
      <c r="B45" s="17" t="inlineStr">
        <is>
          <t>Amorphous silicon</t>
        </is>
      </c>
      <c r="C45" s="17" t="n">
        <v>1.6</v>
      </c>
      <c r="D45" s="19" t="n">
        <v>10.2</v>
      </c>
      <c r="E45" s="20" t="n">
        <v>896</v>
      </c>
      <c r="F45" s="19" t="n">
        <v>16.4</v>
      </c>
      <c r="G45" s="19" t="n">
        <v>69.8</v>
      </c>
      <c r="H45" s="17" t="inlineStr">
        <is>
          <t>a-Si</t>
        </is>
      </c>
      <c r="I45" s="17" t="b">
        <v>1</v>
      </c>
      <c r="J45" s="17">
        <f>HYPERLINK("https://doi.org/10.1002/pip.2573","Green (2015)")</f>
        <v/>
      </c>
      <c r="K45" s="17" t="b">
        <v>1</v>
      </c>
      <c r="L45" s="17" t="b">
        <v>0</v>
      </c>
      <c r="M45" s="17" t="b">
        <v>0</v>
      </c>
      <c r="N45" s="17" t="b">
        <v>0</v>
      </c>
    </row>
    <row r="46" ht="15" customFormat="1" customHeight="1" s="17">
      <c r="A46" s="17" t="n"/>
      <c r="B46" s="17" t="inlineStr">
        <is>
          <t>Amorphous silicon</t>
        </is>
      </c>
      <c r="C46" s="17" t="n">
        <v>1.69</v>
      </c>
      <c r="D46" s="19" t="n">
        <v>10.9</v>
      </c>
      <c r="E46" s="20" t="n">
        <v>896</v>
      </c>
      <c r="F46" s="19" t="n">
        <v>16.1</v>
      </c>
      <c r="G46" s="19" t="n">
        <v>75.59999999999999</v>
      </c>
      <c r="H46" s="17" t="inlineStr">
        <is>
          <t>a-Si</t>
        </is>
      </c>
      <c r="I46" s="17" t="b">
        <v>0</v>
      </c>
      <c r="J46" s="17">
        <f>HYPERLINK("https://doi.org/10.1063/1.4907001","Matsui (2015)")</f>
        <v/>
      </c>
      <c r="K46" s="17" t="b">
        <v>0</v>
      </c>
      <c r="L46" s="17" t="b">
        <v>0</v>
      </c>
      <c r="M46" s="17" t="b">
        <v>0</v>
      </c>
      <c r="N46" s="17" t="b">
        <v>0</v>
      </c>
    </row>
    <row r="47" ht="15" customFormat="1" customHeight="1" s="17">
      <c r="A47" s="17" t="n"/>
      <c r="B47" s="17" t="inlineStr">
        <is>
          <t>Amorphous silicon</t>
        </is>
      </c>
      <c r="C47" s="17" t="n">
        <v>1.85</v>
      </c>
      <c r="D47" s="19" t="n">
        <v>10.1</v>
      </c>
      <c r="E47" s="20" t="n">
        <v>886</v>
      </c>
      <c r="F47" s="19" t="n">
        <v>16.8</v>
      </c>
      <c r="G47" s="19" t="n">
        <v>67</v>
      </c>
      <c r="H47" s="17" t="inlineStr">
        <is>
          <t>a-Si</t>
        </is>
      </c>
      <c r="I47" s="17" t="b">
        <v>1</v>
      </c>
      <c r="J47" s="17">
        <f>HYPERLINK("https://doi.org/10.1002/pip.1021","Green (2010)")</f>
        <v/>
      </c>
      <c r="K47" s="17" t="b">
        <v>1</v>
      </c>
      <c r="L47" s="17" t="b">
        <v>1</v>
      </c>
      <c r="M47" s="17" t="b">
        <v>0</v>
      </c>
      <c r="N47" s="17" t="b">
        <v>0</v>
      </c>
    </row>
    <row r="48" ht="15" customFormat="1" customHeight="1" s="17">
      <c r="A48" s="17" t="n"/>
      <c r="B48" s="17" t="inlineStr">
        <is>
          <t>Gallium arsenide</t>
        </is>
      </c>
      <c r="C48" s="17" t="n">
        <v>1.42</v>
      </c>
      <c r="D48" s="19" t="n">
        <v>29.1</v>
      </c>
      <c r="E48" s="20" t="n">
        <v>1130</v>
      </c>
      <c r="F48" s="19" t="n">
        <v>29.8</v>
      </c>
      <c r="G48" s="19" t="n">
        <v>86.7</v>
      </c>
      <c r="H48" s="17" t="inlineStr">
        <is>
          <t>GaAs</t>
        </is>
      </c>
      <c r="I48" s="17" t="b">
        <v>1</v>
      </c>
      <c r="J48" s="17">
        <f>HYPERLINK("https://doi.org/10.1002/pip.3102","Green (2019)")</f>
        <v/>
      </c>
      <c r="K48" s="17" t="b">
        <v>1</v>
      </c>
      <c r="L48" s="17" t="b">
        <v>1</v>
      </c>
      <c r="M48" s="17" t="b">
        <v>0</v>
      </c>
      <c r="N48" s="17" t="b">
        <v>0</v>
      </c>
    </row>
    <row r="49" ht="15" customFormat="1" customHeight="1" s="17">
      <c r="A49" s="17" t="n"/>
      <c r="B49" s="17" t="inlineStr">
        <is>
          <t>Gallium arsenide</t>
        </is>
      </c>
      <c r="C49" s="17" t="n">
        <v>1.4</v>
      </c>
      <c r="D49" s="19" t="n">
        <v>26.9</v>
      </c>
      <c r="E49" s="20" t="n">
        <v>1060</v>
      </c>
      <c r="F49" s="19" t="n">
        <v>29.9</v>
      </c>
      <c r="G49" s="19" t="n">
        <v>84.90000000000001</v>
      </c>
      <c r="H49" s="17" t="inlineStr">
        <is>
          <t>GaAs</t>
        </is>
      </c>
      <c r="I49" s="17" t="b">
        <v>0</v>
      </c>
      <c r="J49" s="17">
        <f>HYPERLINK("https://doi.org/10.1016/j.joule.2023.05.019","Schulte (2023)")</f>
        <v/>
      </c>
      <c r="K49" s="17" t="b">
        <v>0</v>
      </c>
      <c r="L49" s="17" t="b">
        <v>0</v>
      </c>
      <c r="M49" s="17" t="b">
        <v>0</v>
      </c>
      <c r="N49" s="17" t="b">
        <v>0</v>
      </c>
    </row>
    <row r="50" ht="15" customFormat="1" customHeight="1" s="17">
      <c r="A50" s="17" t="n"/>
      <c r="B50" s="17" t="inlineStr">
        <is>
          <t>Gallium arsenide</t>
        </is>
      </c>
      <c r="C50" s="17" t="n">
        <v>1.41</v>
      </c>
      <c r="D50" s="19" t="n">
        <v>24.9</v>
      </c>
      <c r="E50" s="20" t="n">
        <v>1040</v>
      </c>
      <c r="F50" s="19" t="n">
        <v>28.7</v>
      </c>
      <c r="G50" s="19" t="n">
        <v>83</v>
      </c>
      <c r="H50" s="17" t="inlineStr">
        <is>
          <t>GaAs</t>
        </is>
      </c>
      <c r="I50" s="17" t="b">
        <v>0</v>
      </c>
      <c r="J50" s="17">
        <f>HYPERLINK("https://doi.org/10.1002/aenm.202302035","Braun (2024)")</f>
        <v/>
      </c>
      <c r="K50" s="17" t="b">
        <v>0</v>
      </c>
      <c r="L50" s="17" t="b">
        <v>0</v>
      </c>
      <c r="M50" s="17" t="b">
        <v>0</v>
      </c>
      <c r="N50" s="17" t="b">
        <v>0</v>
      </c>
    </row>
    <row r="51" ht="15" customFormat="1" customHeight="1" s="17">
      <c r="A51" s="17" t="n"/>
      <c r="B51" s="17" t="inlineStr">
        <is>
          <t>Cadmium telluride</t>
        </is>
      </c>
      <c r="C51" s="17" t="n">
        <v>1.42</v>
      </c>
      <c r="D51" s="19" t="n">
        <v>21</v>
      </c>
      <c r="E51" s="20" t="n">
        <v>876</v>
      </c>
      <c r="F51" s="19" t="n">
        <v>30.3</v>
      </c>
      <c r="G51" s="19" t="n">
        <v>79.40000000000001</v>
      </c>
      <c r="H51" s="17" t="inlineStr">
        <is>
          <t>CdTe</t>
        </is>
      </c>
      <c r="I51" s="17" t="b">
        <v>1</v>
      </c>
      <c r="J51" s="17">
        <f>HYPERLINK("https://doi.org/10.1002/pip.2573","Green (2015)")</f>
        <v/>
      </c>
      <c r="K51" s="17" t="b">
        <v>1</v>
      </c>
      <c r="L51" s="17" t="b">
        <v>1</v>
      </c>
      <c r="M51" s="17" t="b">
        <v>0</v>
      </c>
      <c r="N51" s="17" t="b">
        <v>0</v>
      </c>
    </row>
    <row r="52" ht="15" customFormat="1" customHeight="1" s="17">
      <c r="A52" s="17" t="n"/>
      <c r="B52" s="17" t="inlineStr">
        <is>
          <t>Cadmium telluride</t>
        </is>
      </c>
      <c r="C52" s="17" t="n">
        <v>1.48</v>
      </c>
      <c r="D52" s="19" t="n">
        <v>18.3</v>
      </c>
      <c r="E52" s="20" t="n">
        <v>857</v>
      </c>
      <c r="F52" s="19" t="n">
        <v>26.9</v>
      </c>
      <c r="G52" s="19" t="n">
        <v>77</v>
      </c>
      <c r="H52" s="17" t="inlineStr">
        <is>
          <t>CdTe</t>
        </is>
      </c>
      <c r="I52" s="17" t="b">
        <v>1</v>
      </c>
      <c r="J52" s="17">
        <f>HYPERLINK("https://doi.org/10.1002/pip.2352","Green (2013)")</f>
        <v/>
      </c>
      <c r="K52" s="17" t="b">
        <v>1</v>
      </c>
      <c r="L52" s="17" t="b">
        <v>1</v>
      </c>
      <c r="M52" s="17" t="b">
        <v>0</v>
      </c>
      <c r="N52" s="17" t="b">
        <v>0</v>
      </c>
    </row>
    <row r="53" ht="15" customFormat="1" customHeight="1" s="17">
      <c r="A53" s="17" t="n"/>
      <c r="B53" s="17" t="inlineStr">
        <is>
          <t>Cadmium telluride</t>
        </is>
      </c>
      <c r="C53" s="17" t="n">
        <v>1.4</v>
      </c>
      <c r="D53" s="19" t="n">
        <v>22.3</v>
      </c>
      <c r="E53" s="20" t="n">
        <v>898</v>
      </c>
      <c r="F53" s="19" t="n">
        <v>31.7</v>
      </c>
      <c r="G53" s="19" t="n">
        <v>78.90000000000001</v>
      </c>
      <c r="H53" s="17" t="inlineStr">
        <is>
          <t>CdTe</t>
        </is>
      </c>
      <c r="I53" s="17" t="b">
        <v>1</v>
      </c>
      <c r="J53" s="17">
        <f>HYPERLINK("https://doi.org/10.1002/pip.3726","Green (2023)")</f>
        <v/>
      </c>
      <c r="K53" s="17" t="b">
        <v>1</v>
      </c>
      <c r="L53" s="17" t="b">
        <v>0</v>
      </c>
      <c r="M53" s="17" t="b">
        <v>0</v>
      </c>
      <c r="N53" s="17" t="b">
        <v>0</v>
      </c>
    </row>
    <row r="54" ht="15" customFormat="1" customHeight="1" s="17">
      <c r="A54" s="17" t="n"/>
      <c r="B54" s="17" t="inlineStr">
        <is>
          <t>Cadmium telluride</t>
        </is>
      </c>
      <c r="C54" s="17" t="n">
        <v>1.43</v>
      </c>
      <c r="D54" s="19" t="n">
        <v>22.6</v>
      </c>
      <c r="E54" s="20" t="n">
        <v>898</v>
      </c>
      <c r="F54" s="19" t="n">
        <v>31.6</v>
      </c>
      <c r="G54" s="19" t="n">
        <v>79.59999999999999</v>
      </c>
      <c r="H54" s="17" t="inlineStr">
        <is>
          <t>CdTe</t>
        </is>
      </c>
      <c r="I54" s="17" t="b">
        <v>1</v>
      </c>
      <c r="J54" s="17">
        <f>HYPERLINK("https://doi.org/10.1002/pip.3831","Green (2024)")</f>
        <v/>
      </c>
      <c r="K54" s="17" t="b">
        <v>1</v>
      </c>
      <c r="L54" s="17" t="b">
        <v>0</v>
      </c>
      <c r="M54" s="17" t="b">
        <v>0</v>
      </c>
      <c r="N54" s="17" t="b">
        <v>0</v>
      </c>
    </row>
    <row r="55" ht="15" customFormat="1" customHeight="1" s="17">
      <c r="A55" s="17" t="n"/>
      <c r="B55" s="17" t="inlineStr">
        <is>
          <t>CIGS</t>
        </is>
      </c>
      <c r="C55" s="17" t="n">
        <v>1.09</v>
      </c>
      <c r="D55" s="19" t="n">
        <v>19.8</v>
      </c>
      <c r="E55" s="20" t="n">
        <v>716</v>
      </c>
      <c r="F55" s="19" t="n">
        <v>34.9</v>
      </c>
      <c r="G55" s="19" t="n">
        <v>79.2</v>
      </c>
      <c r="H55" s="1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I55" s="17" t="b">
        <v>1</v>
      </c>
      <c r="J55" s="17">
        <f>HYPERLINK("https://doi.org/10.1002/pip.2452","Green (2014)")</f>
        <v/>
      </c>
      <c r="K55" s="17" t="b">
        <v>1</v>
      </c>
      <c r="L55" s="17" t="b">
        <v>1</v>
      </c>
      <c r="M55" s="17" t="b">
        <v>0</v>
      </c>
      <c r="N55" s="17" t="b">
        <v>0</v>
      </c>
    </row>
    <row r="56" ht="15" customFormat="1" customHeight="1" s="17">
      <c r="A56" s="17" t="n"/>
      <c r="B56" s="17" t="inlineStr">
        <is>
          <t>CIGS</t>
        </is>
      </c>
      <c r="C56" s="17" t="n">
        <v>1.1</v>
      </c>
      <c r="D56" s="19" t="n">
        <v>21.7</v>
      </c>
      <c r="E56" s="20" t="n">
        <v>718</v>
      </c>
      <c r="F56" s="19" t="n">
        <v>40.7</v>
      </c>
      <c r="G56" s="19" t="n">
        <v>74.3</v>
      </c>
      <c r="H56" s="1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I56" s="17" t="b">
        <v>1</v>
      </c>
      <c r="J56" s="17">
        <f>HYPERLINK("https://doi.org/10.1002/pip.2909","Green (2017)")</f>
        <v/>
      </c>
      <c r="K56" s="17" t="b">
        <v>1</v>
      </c>
      <c r="L56" s="17" t="b">
        <v>1</v>
      </c>
      <c r="M56" s="17" t="b">
        <v>0</v>
      </c>
      <c r="N56" s="17" t="b">
        <v>0</v>
      </c>
    </row>
    <row r="57" ht="15" customFormat="1" customHeight="1" s="17">
      <c r="A57" s="17" t="n"/>
      <c r="B57" s="17" t="inlineStr">
        <is>
          <t>CIGS</t>
        </is>
      </c>
      <c r="C57" s="17" t="n">
        <v>1.14</v>
      </c>
      <c r="D57" s="19" t="n">
        <v>21</v>
      </c>
      <c r="E57" s="20" t="n">
        <v>757</v>
      </c>
      <c r="F57" s="19" t="n">
        <v>35.7</v>
      </c>
      <c r="G57" s="19" t="n">
        <v>77.59999999999999</v>
      </c>
      <c r="H57" s="1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I57" s="17" t="b">
        <v>1</v>
      </c>
      <c r="J57" s="17">
        <f>HYPERLINK("https://doi.org/10.1002/pip.2637","Green (2015)")</f>
        <v/>
      </c>
      <c r="K57" s="17" t="b">
        <v>1</v>
      </c>
      <c r="L57" s="17" t="b">
        <v>1</v>
      </c>
      <c r="M57" s="17" t="b">
        <v>0</v>
      </c>
      <c r="N57" s="17" t="b">
        <v>0</v>
      </c>
    </row>
    <row r="58" ht="15" customFormat="1" customHeight="1" s="17">
      <c r="A58" s="17" t="n"/>
      <c r="B58" s="17" t="inlineStr">
        <is>
          <t>CIGS</t>
        </is>
      </c>
      <c r="C58" s="17" t="n">
        <v>1.15</v>
      </c>
      <c r="D58" s="19" t="n">
        <v>23.4</v>
      </c>
      <c r="E58" s="20" t="n">
        <v>734</v>
      </c>
      <c r="F58" s="19" t="n">
        <v>39.6</v>
      </c>
      <c r="G58" s="19" t="n">
        <v>80.40000000000001</v>
      </c>
      <c r="H58" s="1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I58" s="17" t="b">
        <v>1</v>
      </c>
      <c r="J58" s="17">
        <f>HYPERLINK("https://doi.org/10.1002/pip.3171","Green (2019)")</f>
        <v/>
      </c>
      <c r="K58" s="17" t="b">
        <v>1</v>
      </c>
      <c r="L58" s="17" t="b">
        <v>1</v>
      </c>
      <c r="M58" s="17" t="b">
        <v>0</v>
      </c>
      <c r="N58" s="17" t="b">
        <v>0</v>
      </c>
    </row>
    <row r="59" ht="15" customFormat="1" customHeight="1" s="17">
      <c r="A59" s="17" t="n"/>
      <c r="B59" s="17" t="inlineStr">
        <is>
          <t>CIGS</t>
        </is>
      </c>
      <c r="C59" s="17" t="n">
        <v>1.3</v>
      </c>
      <c r="D59" s="19" t="n">
        <v>16.3</v>
      </c>
      <c r="E59" s="20" t="n">
        <v>762</v>
      </c>
      <c r="F59" s="19" t="n">
        <v>31.4</v>
      </c>
      <c r="G59" s="19" t="n">
        <v>68.09999999999999</v>
      </c>
      <c r="H59" s="1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I59" s="17" t="b">
        <v>0</v>
      </c>
      <c r="J59" s="17">
        <f>HYPERLINK("https://doi.org/10.1016/j.matlet.2019.02.031","Li (2019)")</f>
        <v/>
      </c>
      <c r="K59" s="17" t="b">
        <v>0</v>
      </c>
      <c r="L59" s="17" t="b">
        <v>0</v>
      </c>
      <c r="M59" s="17" t="b">
        <v>0</v>
      </c>
      <c r="N59" s="17" t="b">
        <v>0</v>
      </c>
    </row>
    <row r="60" ht="15" customFormat="1" customHeight="1" s="17">
      <c r="A60" s="17" t="n"/>
      <c r="B60" s="17" t="inlineStr">
        <is>
          <t>CIGS</t>
        </is>
      </c>
      <c r="C60" s="17" t="n">
        <v>1.6</v>
      </c>
      <c r="D60" s="19" t="n">
        <v>15.2</v>
      </c>
      <c r="E60" s="20" t="n">
        <v>902</v>
      </c>
      <c r="F60" s="19" t="n">
        <v>23.1</v>
      </c>
      <c r="G60" s="19" t="n">
        <v>73</v>
      </c>
      <c r="H60" s="1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I60" s="17" t="b">
        <v>0</v>
      </c>
      <c r="J60" s="17">
        <f>HYPERLINK("https://doi.org/10.1016/j.joule.2021.05.004","Shukla (2021)")</f>
        <v/>
      </c>
      <c r="K60" s="17" t="b">
        <v>0</v>
      </c>
      <c r="L60" s="17" t="b">
        <v>0</v>
      </c>
      <c r="M60" s="17" t="b">
        <v>0</v>
      </c>
      <c r="N60" s="17" t="b">
        <v>0</v>
      </c>
    </row>
    <row r="61" ht="15" customFormat="1" customHeight="1" s="17">
      <c r="A61" s="17" t="n"/>
      <c r="B61" s="17" t="inlineStr">
        <is>
          <t>CIGS</t>
        </is>
      </c>
      <c r="C61" s="17" t="n">
        <v>1.13</v>
      </c>
      <c r="D61" s="19" t="n">
        <v>23.6</v>
      </c>
      <c r="E61" s="20" t="n">
        <v>767</v>
      </c>
      <c r="F61" s="19" t="n">
        <v>38.3</v>
      </c>
      <c r="G61" s="19" t="n">
        <v>80.5</v>
      </c>
      <c r="H61" s="17" t="inlineStr">
        <is>
          <r>
            <rPr>
              <rFont val="Calibri"/>
              <sz val="11"/>
            </rPr>
            <t>Cu(In,Ga)Se</t>
          </r>
          <r>
            <rPr>
              <rFont val="Calibri"/>
              <sz val="11"/>
              <vertAlign val="subscript"/>
            </rPr>
            <t>2</t>
          </r>
        </is>
      </c>
      <c r="I61" s="17" t="b">
        <v>1</v>
      </c>
      <c r="J61" s="17">
        <f>HYPERLINK("https://doi.org/10.1002/pip.3726","Green (2023)")</f>
        <v/>
      </c>
      <c r="K61" s="17" t="b">
        <v>1</v>
      </c>
      <c r="L61" s="17" t="b">
        <v>0</v>
      </c>
      <c r="M61" s="17" t="b">
        <v>0</v>
      </c>
      <c r="N61" s="17" t="b">
        <v>0</v>
      </c>
    </row>
    <row r="62" ht="15" customFormat="1" customHeight="1" s="17">
      <c r="A62" s="17" t="n"/>
      <c r="B62" s="17" t="inlineStr">
        <is>
          <t>Perovskite</t>
        </is>
      </c>
      <c r="C62" s="17" t="n">
        <v>1.28</v>
      </c>
      <c r="D62" s="19" t="n">
        <v>21.7</v>
      </c>
      <c r="E62" s="20" t="n">
        <v>850</v>
      </c>
      <c r="F62" s="19" t="n">
        <v>31.6</v>
      </c>
      <c r="G62" s="19" t="n">
        <v>80.8</v>
      </c>
      <c r="H62" s="17" t="inlineStr">
        <is>
          <r>
            <rPr>
              <rFont val="Calibri"/>
              <sz val="11"/>
            </rPr>
            <t>FSA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62" s="17" t="b">
        <v>0</v>
      </c>
      <c r="J62" s="17">
        <f>HYPERLINK("https://doi.org/10.1038/s41560-020-00705-5","Xiao (2020)")</f>
        <v/>
      </c>
      <c r="K62" s="17" t="b">
        <v>0</v>
      </c>
      <c r="L62" s="17" t="b">
        <v>0</v>
      </c>
      <c r="M62" s="17" t="b">
        <v>0</v>
      </c>
      <c r="N62" s="17" t="b">
        <v>0</v>
      </c>
    </row>
    <row r="63" ht="15" customFormat="1" customHeight="1" s="17">
      <c r="A63" s="17" t="n"/>
      <c r="B63" s="17" t="inlineStr">
        <is>
          <t>Perovskite</t>
        </is>
      </c>
      <c r="C63" s="17" t="n">
        <v>1.3</v>
      </c>
      <c r="D63" s="19" t="n">
        <v>17.1</v>
      </c>
      <c r="E63" s="20" t="n">
        <v>840</v>
      </c>
      <c r="F63" s="19" t="n">
        <v>27.9</v>
      </c>
      <c r="G63" s="19" t="n">
        <v>73</v>
      </c>
      <c r="H63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63" s="17" t="b">
        <v>0</v>
      </c>
      <c r="J63" s="17">
        <f>HYPERLINK("https://doi.org/10.1021/acsaem.0c02895","Ghimire (2021)")</f>
        <v/>
      </c>
      <c r="K63" s="17" t="b">
        <v>0</v>
      </c>
      <c r="L63" s="17" t="b">
        <v>0</v>
      </c>
      <c r="M63" s="17" t="b">
        <v>0</v>
      </c>
      <c r="N63" s="17" t="b">
        <v>0</v>
      </c>
    </row>
    <row r="64" ht="15" customFormat="1" customHeight="1" s="17">
      <c r="A64" s="17" t="n"/>
      <c r="B64" s="17" t="inlineStr">
        <is>
          <t>Perovskite</t>
        </is>
      </c>
      <c r="C64" s="17" t="n">
        <v>1.3</v>
      </c>
      <c r="D64" s="19" t="n">
        <v>18.8</v>
      </c>
      <c r="E64" s="20" t="n">
        <v>840</v>
      </c>
      <c r="F64" s="19" t="n">
        <v>29.6</v>
      </c>
      <c r="G64" s="19" t="n">
        <v>75.5</v>
      </c>
      <c r="H64" s="17" t="inlineStr">
        <is>
          <r>
            <rPr>
              <rFont val="Calibri"/>
              <sz val="11"/>
            </rPr>
            <t>(FASnI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(MAPbI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0.4</t>
          </r>
        </is>
      </c>
      <c r="I64" s="17" t="b">
        <v>0</v>
      </c>
      <c r="J64" s="17">
        <f>HYPERLINK("https://doi.org/10.1007/s40843-020-1470-5","Chen (2021)")</f>
        <v/>
      </c>
      <c r="K64" s="17" t="b">
        <v>0</v>
      </c>
      <c r="L64" s="17" t="b">
        <v>0</v>
      </c>
      <c r="M64" s="17" t="b">
        <v>0</v>
      </c>
      <c r="N64" s="17" t="b">
        <v>0</v>
      </c>
    </row>
    <row r="65" ht="15" customFormat="1" customHeight="1" s="17">
      <c r="A65" s="17" t="n"/>
      <c r="B65" s="17" t="inlineStr">
        <is>
          <t>Perovskite</t>
        </is>
      </c>
      <c r="C65" s="17" t="n">
        <v>1.31</v>
      </c>
      <c r="D65" s="19" t="n">
        <v>14.1</v>
      </c>
      <c r="E65" s="20" t="n">
        <v>740</v>
      </c>
      <c r="F65" s="19" t="n">
        <v>26.7</v>
      </c>
      <c r="G65" s="19" t="n">
        <v>71.40000000000001</v>
      </c>
      <c r="H65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65" s="17" t="b">
        <v>0</v>
      </c>
      <c r="J65" s="17">
        <f>HYPERLINK("https://doi.org/10.1126/science.aaf9717","Eperon (2016)")</f>
        <v/>
      </c>
      <c r="K65" s="17" t="b">
        <v>0</v>
      </c>
      <c r="L65" s="17" t="b">
        <v>0</v>
      </c>
      <c r="M65" s="17" t="b">
        <v>0</v>
      </c>
      <c r="N65" s="17" t="b">
        <v>0</v>
      </c>
    </row>
    <row r="66" ht="15" customFormat="1" customHeight="1" s="17">
      <c r="A66" s="17" t="n"/>
      <c r="B66" s="17" t="inlineStr">
        <is>
          <t>Perovskite</t>
        </is>
      </c>
      <c r="C66" s="17" t="n">
        <v>1.32</v>
      </c>
      <c r="D66" s="19" t="n">
        <v>11.6</v>
      </c>
      <c r="E66" s="20" t="n">
        <v>720</v>
      </c>
      <c r="F66" s="19" t="n">
        <v>23.4</v>
      </c>
      <c r="G66" s="19" t="n">
        <v>68.90000000000001</v>
      </c>
      <c r="H66" s="17" t="inlineStr">
        <is>
          <r>
            <rPr>
              <rFont val="Calibri"/>
              <sz val="11"/>
            </rPr>
            <t>MAPb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2.8</t>
          </r>
        </is>
      </c>
      <c r="I66" s="17" t="b">
        <v>0</v>
      </c>
      <c r="J66" s="17">
        <f>HYPERLINK("https://doi.org/10.1021/acsami.7b04011","Lee (2017)")</f>
        <v/>
      </c>
      <c r="K66" s="17" t="b">
        <v>0</v>
      </c>
      <c r="L66" s="17" t="b">
        <v>0</v>
      </c>
      <c r="M66" s="17" t="b">
        <v>0</v>
      </c>
      <c r="N66" s="17" t="b">
        <v>0</v>
      </c>
    </row>
    <row r="67" ht="15" customFormat="1" customHeight="1" s="17">
      <c r="A67" s="17" t="n"/>
      <c r="B67" s="17" t="inlineStr">
        <is>
          <t>Perovskite</t>
        </is>
      </c>
      <c r="C67" s="17" t="n">
        <v>1.33</v>
      </c>
      <c r="D67" s="19" t="n">
        <v>7.5</v>
      </c>
      <c r="E67" s="20" t="n">
        <v>450</v>
      </c>
      <c r="F67" s="19" t="n">
        <v>24.9</v>
      </c>
      <c r="G67" s="19" t="n">
        <v>67.09999999999999</v>
      </c>
      <c r="H67" s="17" t="inlineStr">
        <is>
          <r>
            <rPr>
              <rFont val="Calibri"/>
              <sz val="11"/>
            </rPr>
            <t>CsSnI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MBAA</t>
          </r>
        </is>
      </c>
      <c r="I67" s="17" t="b">
        <v>0</v>
      </c>
      <c r="J67" s="17">
        <f>HYPERLINK("https://doi.org/10.1021/jacs.0c13069","Ye (2021)")</f>
        <v/>
      </c>
      <c r="K67" s="17" t="b">
        <v>0</v>
      </c>
      <c r="L67" s="17" t="b">
        <v>0</v>
      </c>
      <c r="M67" s="17" t="b">
        <v>0</v>
      </c>
      <c r="N67" s="17" t="b">
        <v>0</v>
      </c>
    </row>
    <row r="68" ht="15" customFormat="1" customHeight="1" s="17">
      <c r="A68" s="17" t="n"/>
      <c r="B68" s="17" t="inlineStr">
        <is>
          <t>Perovskite</t>
        </is>
      </c>
      <c r="C68" s="17" t="n">
        <v>1.34</v>
      </c>
      <c r="D68" s="17" t="n">
        <v>12.1</v>
      </c>
      <c r="E68" s="20" t="n">
        <v>780</v>
      </c>
      <c r="F68" s="19" t="n">
        <v>20.7</v>
      </c>
      <c r="G68" s="19" t="n">
        <v>75.09999999999999</v>
      </c>
      <c r="H68" s="17" t="inlineStr">
        <is>
          <r>
            <rPr>
              <rFont val="Calibri"/>
              <sz val="11"/>
            </rPr>
            <t>MAPb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2.6</t>
          </r>
        </is>
      </c>
      <c r="I68" s="17" t="b">
        <v>0</v>
      </c>
      <c r="J68" s="17">
        <f>HYPERLINK("https://doi.org/10.1021/acsami.7b04011","Lee (2017)")</f>
        <v/>
      </c>
      <c r="K68" s="17" t="b">
        <v>0</v>
      </c>
      <c r="L68" s="17" t="b">
        <v>0</v>
      </c>
      <c r="M68" s="17" t="b">
        <v>0</v>
      </c>
      <c r="N68" s="17" t="b">
        <v>0</v>
      </c>
    </row>
    <row r="69" ht="15" customFormat="1" customHeight="1" s="17">
      <c r="A69" s="17" t="n"/>
      <c r="B69" s="17" t="inlineStr">
        <is>
          <t>Perovskite</t>
        </is>
      </c>
      <c r="C69" s="17" t="n">
        <v>1.36</v>
      </c>
      <c r="D69" s="17" t="n">
        <v>8.199999999999999</v>
      </c>
      <c r="E69" s="20" t="n">
        <v>630</v>
      </c>
      <c r="F69" s="19" t="n">
        <v>19.7</v>
      </c>
      <c r="G69" s="19" t="n">
        <v>66.09999999999999</v>
      </c>
      <c r="H69" s="17" t="inlineStr">
        <is>
          <r>
            <rPr>
              <rFont val="Calibri"/>
              <sz val="11"/>
            </rPr>
            <t>CsSnI</t>
          </r>
          <r>
            <rPr>
              <rFont val="Calibri"/>
              <sz val="11"/>
              <vertAlign val="subscript"/>
            </rPr>
            <t>3</t>
          </r>
        </is>
      </c>
      <c r="I69" s="17" t="b">
        <v>0</v>
      </c>
      <c r="J69" s="17">
        <f>HYPERLINK("https://doi.org/10.1002/adfm.202007447","Li (2021)")</f>
        <v/>
      </c>
      <c r="K69" s="17" t="b">
        <v>0</v>
      </c>
      <c r="L69" s="17" t="b">
        <v>0</v>
      </c>
      <c r="M69" s="17" t="b">
        <v>0</v>
      </c>
      <c r="N69" s="17" t="b">
        <v>0</v>
      </c>
    </row>
    <row r="70" ht="15" customFormat="1" customHeight="1" s="17">
      <c r="A70" s="17" t="n"/>
      <c r="B70" s="17" t="inlineStr">
        <is>
          <t>Perovskite</t>
        </is>
      </c>
      <c r="C70" s="17" t="n">
        <v>1.37</v>
      </c>
      <c r="D70" s="17" t="n">
        <v>14.7</v>
      </c>
      <c r="E70" s="20" t="n">
        <v>737</v>
      </c>
      <c r="F70" s="19" t="n">
        <v>27.1</v>
      </c>
      <c r="G70" s="19" t="n">
        <v>73.59999999999999</v>
      </c>
      <c r="H70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70" s="17" t="b">
        <v>0</v>
      </c>
      <c r="J70" s="17">
        <f>HYPERLINK("https://doi.org/10.1016/j.solener.2020.03.039","Zhang (2020)")</f>
        <v/>
      </c>
      <c r="K70" s="17" t="b">
        <v>0</v>
      </c>
      <c r="L70" s="17" t="b">
        <v>0</v>
      </c>
      <c r="M70" s="17" t="b">
        <v>0</v>
      </c>
      <c r="N70" s="17" t="b">
        <v>0</v>
      </c>
    </row>
    <row r="71" ht="15" customFormat="1" customHeight="1" s="17">
      <c r="A71" s="17" t="n"/>
      <c r="B71" s="17" t="inlineStr">
        <is>
          <t>Perovskite</t>
        </is>
      </c>
      <c r="C71" s="17" t="n">
        <v>1.38</v>
      </c>
      <c r="D71" s="17" t="n">
        <v>17.3</v>
      </c>
      <c r="E71" s="20" t="n">
        <v>810</v>
      </c>
      <c r="F71" s="19" t="n">
        <v>28.2</v>
      </c>
      <c r="G71" s="19" t="n">
        <v>75.40000000000001</v>
      </c>
      <c r="H71" s="17" t="inlineStr">
        <is>
          <r>
            <rPr>
              <rFont val="Calibri"/>
              <sz val="11"/>
            </rPr>
            <t>FAPb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71" s="17" t="b">
        <v>0</v>
      </c>
      <c r="J71" s="17">
        <f>HYPERLINK("https://doi.org/10.1002/adfm.201804603","Chi (2018)")</f>
        <v/>
      </c>
      <c r="K71" s="17" t="b">
        <v>0</v>
      </c>
      <c r="L71" s="17" t="b">
        <v>0</v>
      </c>
      <c r="M71" s="17" t="b">
        <v>0</v>
      </c>
      <c r="N71" s="17" t="b">
        <v>0</v>
      </c>
    </row>
    <row r="72" ht="15" customFormat="1" customHeight="1" s="17">
      <c r="A72" s="17" t="n"/>
      <c r="B72" s="17" t="inlineStr">
        <is>
          <t>Perovskite</t>
        </is>
      </c>
      <c r="C72" s="17" t="n">
        <v>1.39</v>
      </c>
      <c r="D72" s="17" t="n">
        <v>20.6</v>
      </c>
      <c r="E72" s="20" t="n">
        <v>1020</v>
      </c>
      <c r="F72" s="19" t="n">
        <v>26.6</v>
      </c>
      <c r="G72" s="19" t="n">
        <v>75.90000000000001</v>
      </c>
      <c r="H72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72" s="17" t="b">
        <v>0</v>
      </c>
      <c r="J72" s="17">
        <f>HYPERLINK("https://doi.org/10.1002/adma.201908107","Zhou (2020)")</f>
        <v/>
      </c>
      <c r="K72" s="17" t="b">
        <v>0</v>
      </c>
      <c r="L72" s="17" t="b">
        <v>0</v>
      </c>
      <c r="M72" s="17" t="b">
        <v>0</v>
      </c>
      <c r="N72" s="17" t="b">
        <v>0</v>
      </c>
    </row>
    <row r="73" ht="15" customFormat="1" customHeight="1" s="17">
      <c r="A73" s="17" t="n"/>
      <c r="B73" s="17" t="inlineStr">
        <is>
          <t>Perovskite</t>
        </is>
      </c>
      <c r="C73" s="17" t="n">
        <v>1.48</v>
      </c>
      <c r="D73" s="17" t="n">
        <v>6</v>
      </c>
      <c r="E73" s="20" t="n">
        <v>460</v>
      </c>
      <c r="F73" s="19" t="n">
        <v>23.9</v>
      </c>
      <c r="G73" s="19" t="n">
        <v>54.2</v>
      </c>
      <c r="H73" s="17" t="inlineStr">
        <is>
          <r>
            <rPr>
              <rFont val="Calibri"/>
              <sz val="11"/>
            </rPr>
            <t>CsSnI</t>
          </r>
          <r>
            <rPr>
              <rFont val="Calibri"/>
              <sz val="11"/>
              <vertAlign val="subscript"/>
            </rPr>
            <t>3</t>
          </r>
        </is>
      </c>
      <c r="I73" s="17" t="b">
        <v>0</v>
      </c>
      <c r="J73" s="17">
        <f>HYPERLINK("https://doi.org/10.1021/acsami.0c16634","Ma (2021)")</f>
        <v/>
      </c>
      <c r="K73" s="17" t="b">
        <v>0</v>
      </c>
      <c r="L73" s="17" t="b">
        <v>0</v>
      </c>
      <c r="M73" s="17" t="b">
        <v>0</v>
      </c>
      <c r="N73" s="17" t="b">
        <v>0</v>
      </c>
    </row>
    <row r="74" ht="15" customFormat="1" customHeight="1" s="17">
      <c r="A74" s="17" t="n"/>
      <c r="B74" s="17" t="inlineStr">
        <is>
          <t>Perovskite</t>
        </is>
      </c>
      <c r="C74" s="17" t="n">
        <v>1.49</v>
      </c>
      <c r="D74" s="17" t="n">
        <v>22.3</v>
      </c>
      <c r="E74" s="20" t="n">
        <v>1090</v>
      </c>
      <c r="F74" s="19" t="n">
        <v>26.3</v>
      </c>
      <c r="G74" s="19" t="n">
        <v>77.8</v>
      </c>
      <c r="H74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 xml:space="preserve"> (sc)</t>
          </r>
        </is>
      </c>
      <c r="I74" s="17" t="b">
        <v>0</v>
      </c>
      <c r="J74" s="17">
        <f>HYPERLINK("https://doi.org/10.1039/D0EE03839C","Alsalloum (2021)")</f>
        <v/>
      </c>
      <c r="K74" s="17" t="b">
        <v>0</v>
      </c>
      <c r="L74" s="17" t="b">
        <v>0</v>
      </c>
      <c r="M74" s="17" t="b">
        <v>0</v>
      </c>
      <c r="N74" s="17" t="b">
        <v>0</v>
      </c>
    </row>
    <row r="75" ht="15" customFormat="1" customHeight="1" s="17">
      <c r="A75" s="17" t="n"/>
      <c r="B75" s="17" t="inlineStr">
        <is>
          <t>Perovskite</t>
        </is>
      </c>
      <c r="C75" s="17" t="n">
        <v>1.61</v>
      </c>
      <c r="D75" s="17" t="n">
        <v>23.2</v>
      </c>
      <c r="E75" s="20" t="n">
        <v>1240</v>
      </c>
      <c r="F75" s="17" t="n">
        <v>22.1</v>
      </c>
      <c r="G75" s="19" t="n">
        <v>84.5</v>
      </c>
      <c r="H75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0.07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0.44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2.56</t>
          </r>
        </is>
      </c>
      <c r="I75" s="17" t="b">
        <v>0</v>
      </c>
      <c r="J75" s="17">
        <f>HYPERLINK("https://doi.org/10.1126/science.abb8687","Peng (2021)")</f>
        <v/>
      </c>
      <c r="K75" s="17" t="b">
        <v>0</v>
      </c>
      <c r="L75" s="17" t="b">
        <v>0</v>
      </c>
      <c r="M75" s="17" t="b">
        <v>0</v>
      </c>
      <c r="N75" s="17" t="b">
        <v>0</v>
      </c>
    </row>
    <row r="76" ht="15" customFormat="1" customHeight="1" s="17">
      <c r="A76" s="17" t="n"/>
      <c r="B76" s="17" t="inlineStr">
        <is>
          <t>Perovskite</t>
        </is>
      </c>
      <c r="C76" s="17" t="n">
        <v>1.62</v>
      </c>
      <c r="D76" s="17" t="n">
        <v>21.7</v>
      </c>
      <c r="E76" s="20" t="n">
        <v>1180</v>
      </c>
      <c r="F76" s="17" t="n">
        <v>22.5</v>
      </c>
      <c r="G76" s="19" t="n">
        <v>81.7</v>
      </c>
      <c r="H76" s="17" t="inlineStr">
        <is>
          <r>
            <rPr>
              <rFont val="Calibri"/>
              <sz val="11"/>
            </rPr>
            <t>MAPbI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-DAP</t>
          </r>
        </is>
      </c>
      <c r="I76" s="17" t="b">
        <v>0</v>
      </c>
      <c r="J76" s="17">
        <f>HYPERLINK("https://doi.org/10.1126/sciadv.aav8925","Wu (2019)")</f>
        <v/>
      </c>
      <c r="K76" s="17" t="b">
        <v>0</v>
      </c>
      <c r="L76" s="17" t="b">
        <v>0</v>
      </c>
      <c r="M76" s="17" t="b">
        <v>0</v>
      </c>
      <c r="N76" s="17" t="b">
        <v>0</v>
      </c>
    </row>
    <row r="77" ht="15" customFormat="1" customHeight="1" s="17">
      <c r="A77" s="17" t="n"/>
      <c r="B77" s="17" t="inlineStr">
        <is>
          <t>Perovskite</t>
        </is>
      </c>
      <c r="C77" s="17" t="n">
        <v>1.63</v>
      </c>
      <c r="D77" s="17" t="n">
        <v>20.3</v>
      </c>
      <c r="E77" s="20" t="n">
        <v>1130</v>
      </c>
      <c r="F77" s="17" t="n">
        <v>23.4</v>
      </c>
      <c r="G77" s="19" t="n">
        <v>76.8</v>
      </c>
      <c r="H77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0.19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2.4</t>
          </r>
        </is>
      </c>
      <c r="I77" s="17" t="b">
        <v>0</v>
      </c>
      <c r="J77" s="17">
        <f>HYPERLINK("https://doi.org/10.1039/C8EE02242A","Choi (2018)")</f>
        <v/>
      </c>
      <c r="K77" s="17" t="b">
        <v>0</v>
      </c>
      <c r="L77" s="17" t="b">
        <v>0</v>
      </c>
      <c r="M77" s="17" t="b">
        <v>0</v>
      </c>
      <c r="N77" s="17" t="b">
        <v>0</v>
      </c>
    </row>
    <row r="78" ht="15" customFormat="1" customHeight="1" s="17">
      <c r="A78" s="17" t="n"/>
      <c r="B78" s="17" t="inlineStr">
        <is>
          <t>Perovskite</t>
        </is>
      </c>
      <c r="C78" s="17" t="n">
        <v>1.75</v>
      </c>
      <c r="D78" s="17" t="n">
        <v>19.8</v>
      </c>
      <c r="E78" s="20" t="n">
        <v>1310</v>
      </c>
      <c r="F78" s="17" t="n">
        <v>19.4</v>
      </c>
      <c r="G78" s="19" t="n">
        <v>78</v>
      </c>
      <c r="H78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78" s="17" t="b">
        <v>0</v>
      </c>
      <c r="J78" s="17">
        <f>HYPERLINK("https://doi.org/10.1002/aenm.201803699","Gharibzadeh (2019)")</f>
        <v/>
      </c>
      <c r="K78" s="17" t="b">
        <v>0</v>
      </c>
      <c r="L78" s="17" t="b">
        <v>0</v>
      </c>
      <c r="M78" s="17" t="b">
        <v>0</v>
      </c>
      <c r="N78" s="17" t="b">
        <v>0</v>
      </c>
    </row>
    <row r="79" ht="15" customFormat="1" customHeight="1" s="17">
      <c r="A79" s="17" t="n"/>
      <c r="B79" s="17" t="inlineStr">
        <is>
          <t>Perovskite</t>
        </is>
      </c>
      <c r="C79" s="17" t="n">
        <v>1.76</v>
      </c>
      <c r="D79" s="17" t="n">
        <v>18.5</v>
      </c>
      <c r="E79" s="20" t="n">
        <v>1210</v>
      </c>
      <c r="F79" s="17" t="n">
        <v>20</v>
      </c>
      <c r="G79" s="19" t="n">
        <v>76.40000000000001</v>
      </c>
      <c r="H79" s="17" t="inlineStr">
        <is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0.83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79" s="17" t="b">
        <v>0</v>
      </c>
      <c r="J79" s="17">
        <f>HYPERLINK("https://doi.org/10.1002/adma.201700607","Lin (2017)")</f>
        <v/>
      </c>
      <c r="K79" s="17" t="b">
        <v>0</v>
      </c>
      <c r="L79" s="17" t="b">
        <v>0</v>
      </c>
      <c r="M79" s="17" t="b">
        <v>0</v>
      </c>
      <c r="N79" s="17" t="b">
        <v>0</v>
      </c>
    </row>
    <row r="80" ht="15" customFormat="1" customHeight="1" s="17">
      <c r="A80" s="17" t="n"/>
      <c r="B80" s="17" t="inlineStr">
        <is>
          <t>Perovskite</t>
        </is>
      </c>
      <c r="C80" s="17" t="n">
        <v>1.81</v>
      </c>
      <c r="D80" s="17" t="n">
        <v>16.3</v>
      </c>
      <c r="E80" s="20" t="n">
        <v>1220</v>
      </c>
      <c r="F80" s="17" t="n">
        <v>17</v>
      </c>
      <c r="G80" s="19" t="n">
        <v>78.59999999999999</v>
      </c>
      <c r="H80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0.35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80" s="17" t="b">
        <v>0</v>
      </c>
      <c r="J80" s="17">
        <f>HYPERLINK("https://doi.org/10.1038/s41467-019-12513-x","Yang (2019)")</f>
        <v/>
      </c>
      <c r="K80" s="17" t="b">
        <v>0</v>
      </c>
      <c r="L80" s="17" t="b">
        <v>0</v>
      </c>
      <c r="M80" s="17" t="b">
        <v>0</v>
      </c>
      <c r="N80" s="17" t="b">
        <v>0</v>
      </c>
    </row>
    <row r="81" ht="15" customFormat="1" customHeight="1" s="17">
      <c r="A81" s="17" t="n"/>
      <c r="B81" s="17" t="inlineStr">
        <is>
          <t>Perovskite</t>
        </is>
      </c>
      <c r="C81" s="17" t="n">
        <v>1.84</v>
      </c>
      <c r="D81" s="17" t="n">
        <v>15.2</v>
      </c>
      <c r="E81" s="20" t="n">
        <v>1260</v>
      </c>
      <c r="F81" s="17" t="n">
        <v>15.6</v>
      </c>
      <c r="G81" s="19" t="n">
        <v>77.3</v>
      </c>
      <c r="H81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-DAP</t>
          </r>
        </is>
      </c>
      <c r="I81" s="17" t="b">
        <v>0</v>
      </c>
      <c r="J81" s="17">
        <f>HYPERLINK("https://doi.org/10.1126/sciadv.aav8925","Wu (2019)")</f>
        <v/>
      </c>
      <c r="K81" s="17" t="b">
        <v>0</v>
      </c>
      <c r="L81" s="17" t="b">
        <v>0</v>
      </c>
      <c r="M81" s="17" t="b">
        <v>0</v>
      </c>
      <c r="N81" s="17" t="b">
        <v>0</v>
      </c>
    </row>
    <row r="82" ht="15" customFormat="1" customHeight="1" s="17">
      <c r="A82" s="17" t="n"/>
      <c r="B82" s="17" t="inlineStr">
        <is>
          <t>Perovskite</t>
        </is>
      </c>
      <c r="C82" s="17" t="n">
        <v>1.86</v>
      </c>
      <c r="D82" s="17" t="n">
        <v>17</v>
      </c>
      <c r="E82" s="20" t="n">
        <v>1340</v>
      </c>
      <c r="F82" s="17" t="n">
        <v>15.9</v>
      </c>
      <c r="G82" s="19" t="n">
        <v>79.8</v>
      </c>
      <c r="H82" s="17" t="inlineStr">
        <is>
          <t>CsPb(I0.75Br0.25)3-0.5FAOAc</t>
        </is>
      </c>
      <c r="I82" s="17" t="b">
        <v>0</v>
      </c>
      <c r="J82" s="17">
        <f>HYPERLINK("https://doi.org/10.1016/j.joule.2019.11.007","Zhang (2020)")</f>
        <v/>
      </c>
      <c r="K82" s="17" t="b">
        <v>0</v>
      </c>
      <c r="L82" s="17" t="b">
        <v>0</v>
      </c>
      <c r="M82" s="17" t="b">
        <v>0</v>
      </c>
      <c r="N82" s="17" t="b">
        <v>0</v>
      </c>
    </row>
    <row r="83" ht="15" customFormat="1" customHeight="1" s="17">
      <c r="A83" s="17" t="n"/>
      <c r="B83" s="17" t="inlineStr">
        <is>
          <t>Perovskite</t>
        </is>
      </c>
      <c r="C83" s="17" t="n">
        <v>1.87</v>
      </c>
      <c r="D83" s="17" t="n">
        <v>14</v>
      </c>
      <c r="E83" s="20" t="n">
        <v>1280</v>
      </c>
      <c r="F83" s="17" t="n">
        <v>14</v>
      </c>
      <c r="G83" s="19" t="n">
        <v>78.09999999999999</v>
      </c>
      <c r="H83" s="17" t="inlineStr">
        <is>
          <r>
            <rPr>
              <rFont val="Calibri"/>
              <sz val="11"/>
            </rPr>
            <t>CsBa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BrI</t>
          </r>
          <r>
            <rPr>
              <rFont val="Calibri"/>
              <sz val="11"/>
              <vertAlign val="subscript"/>
            </rPr>
            <t>2</t>
          </r>
        </is>
      </c>
      <c r="I83" s="17" t="b">
        <v>0</v>
      </c>
      <c r="J83" s="17">
        <f>HYPERLINK("https://doi.org/10.1038/s41467-019-12678-5","Xiang (2019)")</f>
        <v/>
      </c>
      <c r="K83" s="17" t="b">
        <v>0</v>
      </c>
      <c r="L83" s="17" t="b">
        <v>0</v>
      </c>
      <c r="M83" s="17" t="b">
        <v>0</v>
      </c>
      <c r="N83" s="17" t="b">
        <v>0</v>
      </c>
    </row>
    <row r="84" ht="15" customFormat="1" customHeight="1" s="17">
      <c r="A84" s="17" t="n"/>
      <c r="B84" s="17" t="inlineStr">
        <is>
          <t>Perovskite</t>
        </is>
      </c>
      <c r="C84" s="17" t="n">
        <v>1.89</v>
      </c>
      <c r="D84" s="17" t="n">
        <v>16</v>
      </c>
      <c r="E84" s="20" t="n">
        <v>1310</v>
      </c>
      <c r="F84" s="17" t="n">
        <v>15.8</v>
      </c>
      <c r="G84" s="19" t="n">
        <v>77.5</v>
      </c>
      <c r="H84" s="17" t="inlineStr">
        <is>
          <r>
            <rPr>
              <rFont val="Calibri"/>
              <sz val="11"/>
            </rPr>
            <t>CsPbBrI</t>
          </r>
          <r>
            <rPr>
              <rFont val="Calibri"/>
              <sz val="11"/>
              <vertAlign val="subscript"/>
            </rPr>
            <t>2</t>
          </r>
        </is>
      </c>
      <c r="I84" s="17" t="b">
        <v>0</v>
      </c>
      <c r="J84" s="17">
        <f>HYPERLINK("https://doi.org/10.1016/j.cej.2021.129247","Li (2021)")</f>
        <v/>
      </c>
      <c r="K84" s="17" t="b">
        <v>0</v>
      </c>
      <c r="L84" s="17" t="b">
        <v>0</v>
      </c>
      <c r="M84" s="17" t="b">
        <v>0</v>
      </c>
      <c r="N84" s="17" t="b">
        <v>0</v>
      </c>
    </row>
    <row r="85" ht="15" customFormat="1" customHeight="1" s="17">
      <c r="A85" s="17" t="n"/>
      <c r="B85" s="17" t="inlineStr">
        <is>
          <t>Perovskite</t>
        </is>
      </c>
      <c r="C85" s="17" t="n">
        <v>1.98</v>
      </c>
      <c r="D85" s="17" t="n">
        <v>8.300000000000001</v>
      </c>
      <c r="E85" s="20" t="n">
        <v>1080</v>
      </c>
      <c r="F85" s="17" t="n">
        <v>12.3</v>
      </c>
      <c r="G85" s="19" t="n">
        <v>62</v>
      </c>
      <c r="H85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I</t>
          </r>
        </is>
      </c>
      <c r="I85" s="17" t="b">
        <v>0</v>
      </c>
      <c r="J85" s="17">
        <f>HYPERLINK("https://doi.org/10.1021/jacs.7b07949","Liang (2017)")</f>
        <v/>
      </c>
      <c r="K85" s="17" t="b">
        <v>0</v>
      </c>
      <c r="L85" s="17" t="b">
        <v>0</v>
      </c>
      <c r="M85" s="17" t="b">
        <v>0</v>
      </c>
      <c r="N85" s="17" t="b">
        <v>0</v>
      </c>
    </row>
    <row r="86" ht="15" customFormat="1" customHeight="1" s="17">
      <c r="A86" s="17" t="n"/>
      <c r="B86" s="17" t="inlineStr">
        <is>
          <t>Perovskite</t>
        </is>
      </c>
      <c r="C86" s="17" t="n">
        <v>2</v>
      </c>
      <c r="D86" s="17" t="n">
        <v>9.6</v>
      </c>
      <c r="E86" s="20" t="n">
        <v>1190</v>
      </c>
      <c r="F86" s="17" t="n">
        <v>11.2</v>
      </c>
      <c r="G86" s="19" t="n">
        <v>72.3</v>
      </c>
      <c r="H86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86" s="17" t="b">
        <v>0</v>
      </c>
      <c r="J86" s="17">
        <f>HYPERLINK("https://doi.org/10.1002/aenm.201602121","Forgács (2017)")</f>
        <v/>
      </c>
      <c r="K86" s="17" t="b">
        <v>0</v>
      </c>
      <c r="L86" s="17" t="b">
        <v>0</v>
      </c>
      <c r="M86" s="17" t="b">
        <v>0</v>
      </c>
      <c r="N86" s="17" t="b">
        <v>0</v>
      </c>
    </row>
    <row r="87" ht="15" customFormat="1" customHeight="1" s="17">
      <c r="A87" s="17" t="n"/>
      <c r="B87" s="17" t="inlineStr">
        <is>
          <t>Perovskite</t>
        </is>
      </c>
      <c r="C87" s="17" t="n">
        <v>2.01</v>
      </c>
      <c r="D87" s="17" t="n">
        <v>2.2</v>
      </c>
      <c r="E87" s="20" t="n">
        <v>690</v>
      </c>
      <c r="F87" s="17" t="n">
        <v>5</v>
      </c>
      <c r="G87" s="19" t="n">
        <v>63.5</v>
      </c>
      <c r="H87" s="17" t="inlineStr">
        <is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Cl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9-x</t>
          </r>
        </is>
      </c>
      <c r="I87" s="17" t="b">
        <v>0</v>
      </c>
      <c r="J87" s="17">
        <f>HYPERLINK("https://doi.org/10.1021/jacs.7b10739","Jiang (2018)")</f>
        <v/>
      </c>
      <c r="K87" s="17" t="b">
        <v>0</v>
      </c>
      <c r="L87" s="17" t="b">
        <v>0</v>
      </c>
      <c r="M87" s="17" t="b">
        <v>0</v>
      </c>
      <c r="N87" s="17" t="b">
        <v>0</v>
      </c>
    </row>
    <row r="88" ht="15" customFormat="1" customHeight="1" s="17">
      <c r="A88" s="17" t="n"/>
      <c r="B88" s="17" t="inlineStr">
        <is>
          <t>Perovskite</t>
        </is>
      </c>
      <c r="C88" s="17" t="n">
        <v>2.03</v>
      </c>
      <c r="D88" s="17" t="n">
        <v>3.1</v>
      </c>
      <c r="E88" s="20" t="n">
        <v>650</v>
      </c>
      <c r="F88" s="17" t="n">
        <v>8.1</v>
      </c>
      <c r="G88" s="19" t="n">
        <v>58.4</v>
      </c>
      <c r="H88" s="17" t="inlineStr">
        <is>
          <r>
            <rPr>
              <rFont val="Calibri"/>
              <sz val="11"/>
            </rPr>
            <t>MASbSI</t>
          </r>
          <r>
            <rPr>
              <rFont val="Calibri"/>
              <sz val="11"/>
              <vertAlign val="subscript"/>
            </rPr>
            <t>2</t>
          </r>
        </is>
      </c>
      <c r="I88" s="17" t="b">
        <v>0</v>
      </c>
      <c r="J88" s="17">
        <f>HYPERLINK("https://pubs.acs.org/doi/10.1021/jacs.7b11332","Nie (2018)")</f>
        <v/>
      </c>
      <c r="K88" s="17" t="b">
        <v>0</v>
      </c>
      <c r="L88" s="17" t="b">
        <v>0</v>
      </c>
      <c r="M88" s="17" t="b">
        <v>0</v>
      </c>
      <c r="N88" s="17" t="b">
        <v>0</v>
      </c>
    </row>
    <row r="89" ht="15" customFormat="1" customHeight="1" s="17">
      <c r="A89" s="17" t="n"/>
      <c r="B89" s="17" t="inlineStr">
        <is>
          <t>Perovskite</t>
        </is>
      </c>
      <c r="C89" s="17" t="n">
        <v>2.04</v>
      </c>
      <c r="D89" s="17" t="n">
        <v>10.3</v>
      </c>
      <c r="E89" s="20" t="n">
        <v>1340</v>
      </c>
      <c r="F89" s="17" t="n">
        <v>9.699999999999999</v>
      </c>
      <c r="G89" s="17" t="n">
        <v>79.2</v>
      </c>
      <c r="H89" s="17" t="inlineStr">
        <is>
          <r>
            <rPr>
              <rFont val="Calibri"/>
              <sz val="11"/>
            </rPr>
            <t>MAPb(I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Cl</t>
          </r>
          <r>
            <rPr>
              <rFont val="Calibri"/>
              <sz val="11"/>
              <vertAlign val="subscript"/>
            </rPr>
            <t>3-x</t>
          </r>
          <r>
            <rPr>
              <rFont val="Calibri"/>
              <sz val="11"/>
            </rPr>
            <t>(Br)</t>
          </r>
        </is>
      </c>
      <c r="I89" s="17" t="b">
        <v>0</v>
      </c>
      <c r="J89" s="17">
        <f>HYPERLINK("https://doi.org/10.1002/aenm.201502021","Xue (2016)")</f>
        <v/>
      </c>
      <c r="K89" s="17" t="b">
        <v>0</v>
      </c>
      <c r="L89" s="17" t="b">
        <v>0</v>
      </c>
      <c r="M89" s="17" t="b">
        <v>0</v>
      </c>
      <c r="N89" s="17" t="b">
        <v>0</v>
      </c>
    </row>
    <row r="90" ht="15" customFormat="1" customHeight="1" s="17">
      <c r="A90" s="17" t="n"/>
      <c r="B90" s="17" t="inlineStr">
        <is>
          <t>Perovskite</t>
        </is>
      </c>
      <c r="C90" s="22" t="n">
        <v>2.05</v>
      </c>
      <c r="D90" s="19" t="n">
        <v>6.1</v>
      </c>
      <c r="E90" s="20" t="n">
        <v>1450</v>
      </c>
      <c r="F90" s="17" t="n">
        <v>5.4</v>
      </c>
      <c r="G90" s="17" t="n">
        <v>77.09999999999999</v>
      </c>
      <c r="H90" s="1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I</t>
          </r>
        </is>
      </c>
      <c r="I90" s="17" t="b">
        <v>0</v>
      </c>
      <c r="J90" s="17">
        <f>HYPERLINK("https://doi.org/10.1039/C8EE02575D","Huang (2019)")</f>
        <v/>
      </c>
      <c r="K90" s="17" t="b">
        <v>0</v>
      </c>
      <c r="L90" s="17" t="b">
        <v>0</v>
      </c>
      <c r="M90" s="17" t="b">
        <v>0</v>
      </c>
      <c r="N90" s="17" t="b">
        <v>0</v>
      </c>
    </row>
    <row r="91" ht="15" customFormat="1" customHeight="1" s="17">
      <c r="A91" s="17" t="n"/>
      <c r="B91" s="17" t="inlineStr">
        <is>
          <t>Perovskite</t>
        </is>
      </c>
      <c r="C91" s="22" t="n">
        <v>2.09</v>
      </c>
      <c r="D91" s="19" t="n">
        <v>10.2</v>
      </c>
      <c r="E91" s="20" t="n">
        <v>1270</v>
      </c>
      <c r="F91" s="17" t="n">
        <v>11.5</v>
      </c>
      <c r="G91" s="17" t="n">
        <v>69.40000000000001</v>
      </c>
      <c r="H91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I</t>
          </r>
        </is>
      </c>
      <c r="I91" s="17" t="b">
        <v>0</v>
      </c>
      <c r="J91" s="17">
        <f>HYPERLINK("https://doi.org/10.1002/solr.201900363","Wang (2020)")</f>
        <v/>
      </c>
      <c r="K91" s="17" t="b">
        <v>0</v>
      </c>
      <c r="L91" s="17" t="b">
        <v>0</v>
      </c>
      <c r="M91" s="17" t="b">
        <v>0</v>
      </c>
      <c r="N91" s="17" t="b">
        <v>0</v>
      </c>
    </row>
    <row r="92" ht="15" customFormat="1" customHeight="1" s="17">
      <c r="A92" s="17" t="n"/>
      <c r="B92" s="17" t="inlineStr">
        <is>
          <t>Perovskite</t>
        </is>
      </c>
      <c r="C92" s="22" t="n">
        <v>2.1</v>
      </c>
      <c r="D92" s="19" t="n">
        <v>10.7</v>
      </c>
      <c r="E92" s="20" t="n">
        <v>1260</v>
      </c>
      <c r="F92" s="17" t="n">
        <v>11.8</v>
      </c>
      <c r="G92" s="17" t="n">
        <v>72</v>
      </c>
      <c r="H92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I</t>
          </r>
        </is>
      </c>
      <c r="I92" s="17" t="b">
        <v>0</v>
      </c>
      <c r="J92" s="17">
        <f>HYPERLINK("https://doi.org/10.1002/cssc.201900611","Zhu (2019)")</f>
        <v/>
      </c>
      <c r="K92" s="17" t="b">
        <v>0</v>
      </c>
      <c r="L92" s="17" t="b">
        <v>0</v>
      </c>
      <c r="M92" s="17" t="b">
        <v>0</v>
      </c>
      <c r="N92" s="17" t="b">
        <v>0</v>
      </c>
    </row>
    <row r="93" ht="15" customFormat="1" customHeight="1" s="17">
      <c r="A93" s="17" t="n"/>
      <c r="B93" s="17" t="inlineStr">
        <is>
          <t>Perovskite</t>
        </is>
      </c>
      <c r="C93" s="22" t="n">
        <v>2.11</v>
      </c>
      <c r="D93" s="19" t="n">
        <v>9.199999999999999</v>
      </c>
      <c r="E93" s="20" t="n">
        <v>1200</v>
      </c>
      <c r="F93" s="17" t="n">
        <v>10.2</v>
      </c>
      <c r="G93" s="17" t="n">
        <v>74.59999999999999</v>
      </c>
      <c r="H93" s="17" t="inlineStr">
        <is>
          <t>GAI-DEE-CsPbIBr2</t>
        </is>
      </c>
      <c r="I93" s="17" t="b">
        <v>0</v>
      </c>
      <c r="J93" s="21">
        <f>HYPERLINK("https://doi.org/10.1021/acsami.9b09171","Zhang (2019)")</f>
        <v/>
      </c>
      <c r="K93" s="17" t="b">
        <v>0</v>
      </c>
      <c r="L93" s="17" t="b">
        <v>0</v>
      </c>
      <c r="M93" s="17" t="b">
        <v>0</v>
      </c>
      <c r="N93" s="17" t="b">
        <v>0</v>
      </c>
    </row>
    <row r="94" ht="15" customFormat="1" customHeight="1" s="17">
      <c r="A94" s="17" t="n"/>
      <c r="B94" s="17" t="inlineStr">
        <is>
          <t>Perovskite</t>
        </is>
      </c>
      <c r="C94" s="22" t="n">
        <v>2.27</v>
      </c>
      <c r="D94" s="19" t="n">
        <v>10.6</v>
      </c>
      <c r="E94" s="20" t="n">
        <v>1550</v>
      </c>
      <c r="F94" s="17" t="n">
        <v>8.9</v>
      </c>
      <c r="G94" s="17" t="n">
        <v>76.5</v>
      </c>
      <c r="H94" s="1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3</t>
          </r>
        </is>
      </c>
      <c r="I94" s="17" t="b">
        <v>0</v>
      </c>
      <c r="J94" s="17">
        <f>HYPERLINK("https://doi.org/10.1021/acsenergylett.8b00540","Zhang (2018)")</f>
        <v/>
      </c>
      <c r="K94" s="17" t="b">
        <v>0</v>
      </c>
      <c r="L94" s="17" t="b">
        <v>0</v>
      </c>
      <c r="M94" s="17" t="b">
        <v>0</v>
      </c>
      <c r="N94" s="17" t="b">
        <v>0</v>
      </c>
    </row>
    <row r="95" ht="15" customFormat="1" customHeight="1" s="17">
      <c r="A95" s="17" t="n"/>
      <c r="B95" s="17" t="inlineStr">
        <is>
          <t>Perovskite</t>
        </is>
      </c>
      <c r="C95" s="22" t="n">
        <v>2.28</v>
      </c>
      <c r="D95" s="19" t="n">
        <v>10.5</v>
      </c>
      <c r="E95" s="20" t="n">
        <v>1520</v>
      </c>
      <c r="F95" s="17" t="n">
        <v>8.300000000000001</v>
      </c>
      <c r="G95" s="17" t="n">
        <v>83</v>
      </c>
      <c r="H95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I95" s="17" t="b">
        <v>0</v>
      </c>
      <c r="J95" s="17">
        <f>HYPERLINK("https://doi.org/10.1021/acsami.9b06356","Li (2019)")</f>
        <v/>
      </c>
      <c r="K95" s="17" t="b">
        <v>0</v>
      </c>
      <c r="L95" s="17" t="b">
        <v>0</v>
      </c>
      <c r="M95" s="17" t="b">
        <v>0</v>
      </c>
      <c r="N95" s="17" t="b">
        <v>0</v>
      </c>
    </row>
    <row r="96" ht="15" customFormat="1" customHeight="1" s="17">
      <c r="A96" s="17" t="n"/>
      <c r="B96" s="17" t="inlineStr">
        <is>
          <t>Perovskite</t>
        </is>
      </c>
      <c r="C96" s="22" t="n">
        <v>2.32</v>
      </c>
      <c r="D96" s="19" t="n">
        <v>10.1</v>
      </c>
      <c r="E96" s="20" t="n">
        <v>1650</v>
      </c>
      <c r="F96" s="17" t="n">
        <v>7.7</v>
      </c>
      <c r="G96" s="17" t="n">
        <v>79.09999999999999</v>
      </c>
      <c r="H96" s="1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3</t>
          </r>
        </is>
      </c>
      <c r="I96" s="17" t="b">
        <v>0</v>
      </c>
      <c r="J96" s="17">
        <f>HYPERLINK("https://doi.org/10.1002/solr.201800083","Hu (2018)")</f>
        <v/>
      </c>
      <c r="K96" s="17" t="b">
        <v>0</v>
      </c>
      <c r="L96" s="17" t="b">
        <v>0</v>
      </c>
      <c r="M96" s="17" t="b">
        <v>0</v>
      </c>
      <c r="N96" s="17" t="b">
        <v>0</v>
      </c>
    </row>
    <row r="97" ht="15" customFormat="1" customHeight="1" s="17">
      <c r="A97" s="17" t="n"/>
      <c r="B97" s="17" t="inlineStr">
        <is>
          <t>Perovskite</t>
        </is>
      </c>
      <c r="C97" s="22" t="n">
        <v>2.33</v>
      </c>
      <c r="D97" s="19" t="n">
        <v>8.199999999999999</v>
      </c>
      <c r="E97" s="20" t="n">
        <v>1470</v>
      </c>
      <c r="F97" s="17" t="n">
        <v>7.3</v>
      </c>
      <c r="G97" s="17" t="n">
        <v>76.09999999999999</v>
      </c>
      <c r="H97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I97" s="17" t="b">
        <v>0</v>
      </c>
      <c r="J97" s="17">
        <f>HYPERLINK("https://doi.org/10.1016/j.solener.2018.06.041","Liao (2018)")</f>
        <v/>
      </c>
      <c r="K97" s="17" t="b">
        <v>0</v>
      </c>
      <c r="L97" s="17" t="b">
        <v>0</v>
      </c>
      <c r="M97" s="17" t="b">
        <v>0</v>
      </c>
      <c r="N97" s="17" t="b">
        <v>0</v>
      </c>
    </row>
    <row r="98" ht="15" customFormat="1" customHeight="1" s="17">
      <c r="A98" s="17" t="n"/>
      <c r="B98" s="17" t="inlineStr">
        <is>
          <t>Perovskite</t>
        </is>
      </c>
      <c r="C98" s="22" t="n">
        <v>2.33</v>
      </c>
      <c r="D98" s="19" t="n">
        <v>8.5</v>
      </c>
      <c r="E98" s="20" t="n">
        <v>1580</v>
      </c>
      <c r="F98" s="17" t="n">
        <v>6.6</v>
      </c>
      <c r="G98" s="17" t="n">
        <v>82.09999999999999</v>
      </c>
      <c r="H98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I98" s="17" t="b">
        <v>0</v>
      </c>
      <c r="J98" s="17">
        <f>HYPERLINK("https://doi.org/10.1021/acsami.1c00688","Wang (2021)")</f>
        <v/>
      </c>
      <c r="K98" s="17" t="b">
        <v>0</v>
      </c>
      <c r="L98" s="17" t="b">
        <v>0</v>
      </c>
      <c r="M98" s="17" t="b">
        <v>0</v>
      </c>
      <c r="N98" s="17" t="b">
        <v>0</v>
      </c>
    </row>
    <row r="99" ht="15" customFormat="1" customHeight="1" s="17">
      <c r="A99" s="17" t="n"/>
      <c r="B99" s="17" t="inlineStr">
        <is>
          <t>Perovskite</t>
        </is>
      </c>
      <c r="C99" s="22" t="n">
        <v>2.35</v>
      </c>
      <c r="D99" s="19" t="n">
        <v>10.7</v>
      </c>
      <c r="E99" s="20" t="n">
        <v>1620</v>
      </c>
      <c r="F99" s="17" t="n">
        <v>7.9</v>
      </c>
      <c r="G99" s="17" t="n">
        <v>83.5</v>
      </c>
      <c r="H99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I99" s="17" t="b">
        <v>0</v>
      </c>
      <c r="J99" s="17">
        <f>HYPERLINK("https://doi.org/10.1016/j.nanoen.2019.104286","Zhao (2020)")</f>
        <v/>
      </c>
      <c r="K99" s="17" t="b">
        <v>0</v>
      </c>
      <c r="L99" s="17" t="b">
        <v>0</v>
      </c>
      <c r="M99" s="17" t="b">
        <v>0</v>
      </c>
      <c r="N99" s="17" t="b">
        <v>0</v>
      </c>
    </row>
    <row r="100" ht="15" customFormat="1" customHeight="1" s="17">
      <c r="A100" s="17" t="n"/>
      <c r="B100" s="17" t="inlineStr">
        <is>
          <t>Perovskite</t>
        </is>
      </c>
      <c r="C100" s="22" t="n">
        <v>2.36</v>
      </c>
      <c r="D100" s="19" t="n">
        <v>10.3</v>
      </c>
      <c r="E100" s="20" t="n">
        <v>1570</v>
      </c>
      <c r="F100" s="17" t="n">
        <v>8.199999999999999</v>
      </c>
      <c r="G100" s="17" t="n">
        <v>79.59999999999999</v>
      </c>
      <c r="H100" s="17" t="inlineStr">
        <is>
          <r>
            <rPr>
              <rFont val="Calibri"/>
              <sz val="11"/>
            </rPr>
            <t>CsPb</t>
          </r>
          <r>
            <rPr>
              <rFont val="Calibri"/>
              <sz val="11"/>
              <vertAlign val="subscript"/>
            </rPr>
            <t>0.97</t>
          </r>
          <r>
            <rPr>
              <rFont val="Calibri"/>
              <sz val="11"/>
            </rPr>
            <t>Tb</t>
          </r>
          <r>
            <rPr>
              <rFont val="Calibri"/>
              <sz val="11"/>
              <vertAlign val="subscript"/>
            </rPr>
            <t>0.03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3</t>
          </r>
        </is>
      </c>
      <c r="I100" s="17" t="b">
        <v>0</v>
      </c>
      <c r="J100" s="17">
        <f>HYPERLINK("https://doi.org/10.1039/C8TA08900K","Yuan (2018)")</f>
        <v/>
      </c>
      <c r="K100" s="17" t="b">
        <v>0</v>
      </c>
      <c r="L100" s="17" t="b">
        <v>0</v>
      </c>
      <c r="M100" s="17" t="b">
        <v>0</v>
      </c>
      <c r="N100" s="17" t="b">
        <v>0</v>
      </c>
    </row>
    <row r="101" ht="15" customFormat="1" customHeight="1" s="17">
      <c r="A101" s="17" t="n"/>
      <c r="B101" s="17" t="inlineStr">
        <is>
          <t>Perovskite</t>
        </is>
      </c>
      <c r="C101" s="22" t="n">
        <v>2.36</v>
      </c>
      <c r="D101" s="19" t="n">
        <v>4</v>
      </c>
      <c r="E101" s="20" t="n">
        <v>1130</v>
      </c>
      <c r="F101" s="17" t="n">
        <v>5.5</v>
      </c>
      <c r="G101" s="17" t="n">
        <v>63.6</v>
      </c>
      <c r="H101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2.9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0.1</t>
          </r>
        </is>
      </c>
      <c r="I101" s="17" t="b">
        <v>0</v>
      </c>
      <c r="J101" s="17">
        <f>HYPERLINK("https://doi.org/10.1038/s41598-018-20228-0","Ng (2018)")</f>
        <v/>
      </c>
      <c r="K101" s="17" t="b">
        <v>0</v>
      </c>
      <c r="L101" s="17" t="b">
        <v>0</v>
      </c>
      <c r="M101" s="17" t="b">
        <v>0</v>
      </c>
      <c r="N101" s="17" t="b">
        <v>0</v>
      </c>
    </row>
    <row r="102" ht="15" customFormat="1" customHeight="1" s="17">
      <c r="A102" s="17" t="n"/>
      <c r="B102" s="17" t="inlineStr">
        <is>
          <t>Perovskite</t>
        </is>
      </c>
      <c r="C102" s="22" t="n">
        <v>2.38</v>
      </c>
      <c r="D102" s="19" t="n">
        <v>8.1</v>
      </c>
      <c r="E102" s="20" t="n">
        <v>1490</v>
      </c>
      <c r="F102" s="17" t="n">
        <v>6.9</v>
      </c>
      <c r="G102" s="17" t="n">
        <v>78.8</v>
      </c>
      <c r="H102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I102" s="17" t="b">
        <v>0</v>
      </c>
      <c r="J102" s="17">
        <f>HYPERLINK("https://doi.org/10.1016/j.jechem.2019.10.017","Wan (2020)")</f>
        <v/>
      </c>
      <c r="K102" s="17" t="b">
        <v>0</v>
      </c>
      <c r="L102" s="17" t="b">
        <v>0</v>
      </c>
      <c r="M102" s="17" t="b">
        <v>0</v>
      </c>
      <c r="N102" s="17" t="b">
        <v>0</v>
      </c>
    </row>
    <row r="103" ht="15" customFormat="1" customHeight="1" s="17">
      <c r="A103" s="17" t="n"/>
      <c r="B103" s="17" t="inlineStr">
        <is>
          <t>Perovskite</t>
        </is>
      </c>
      <c r="C103" s="22" t="n">
        <v>2.41</v>
      </c>
      <c r="D103" s="19" t="n">
        <v>2.7</v>
      </c>
      <c r="E103" s="20" t="n">
        <v>1020</v>
      </c>
      <c r="F103" s="17" t="n">
        <v>5.2</v>
      </c>
      <c r="G103" s="17" t="n">
        <v>51.2</v>
      </c>
      <c r="H103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I103" s="17" t="b">
        <v>0</v>
      </c>
      <c r="J103" s="17">
        <f>HYPERLINK("https://doi.org/10.1002/adfm.202001557","Yang (2020)")</f>
        <v/>
      </c>
      <c r="K103" s="17" t="b">
        <v>0</v>
      </c>
      <c r="L103" s="17" t="b">
        <v>0</v>
      </c>
      <c r="M103" s="17" t="b">
        <v>0</v>
      </c>
      <c r="N103" s="17" t="b">
        <v>0</v>
      </c>
    </row>
    <row r="104" ht="15" customFormat="1" customHeight="1" s="17">
      <c r="A104" s="17" t="n"/>
      <c r="B104" s="17" t="inlineStr">
        <is>
          <t>Perovskite</t>
        </is>
      </c>
      <c r="C104" s="22" t="n">
        <v>2.42</v>
      </c>
      <c r="D104" s="19" t="n">
        <v>1.1</v>
      </c>
      <c r="E104" s="20" t="n">
        <v>870</v>
      </c>
      <c r="F104" s="17" t="n">
        <v>2.9</v>
      </c>
      <c r="G104" s="17" t="n">
        <v>43</v>
      </c>
      <c r="H104" s="17" t="inlineStr">
        <is>
          <r>
            <rPr>
              <rFont val="Calibri"/>
              <sz val="11"/>
            </rPr>
            <t>BdAPbI</t>
          </r>
          <r>
            <rPr>
              <rFont val="Calibri"/>
              <sz val="11"/>
              <vertAlign val="subscript"/>
            </rPr>
            <t>4</t>
          </r>
        </is>
      </c>
      <c r="I104" s="17" t="b">
        <v>0</v>
      </c>
      <c r="J104" s="17">
        <f>HYPERLINK("https://doi.org/10.1039/C6TA05055G","Safdari (2016)")</f>
        <v/>
      </c>
      <c r="K104" s="17" t="b">
        <v>0</v>
      </c>
      <c r="L104" s="17" t="b">
        <v>0</v>
      </c>
      <c r="M104" s="17" t="b">
        <v>0</v>
      </c>
      <c r="N104" s="17" t="b">
        <v>0</v>
      </c>
    </row>
    <row r="105" ht="15" customFormat="1" customHeight="1" s="17">
      <c r="A105" s="17" t="n"/>
      <c r="B105" s="17" t="inlineStr">
        <is>
          <t>Perovskite</t>
        </is>
      </c>
      <c r="C105" s="22" t="n">
        <v>2.43</v>
      </c>
      <c r="D105" s="19" t="n">
        <v>2.8</v>
      </c>
      <c r="E105" s="20" t="n">
        <v>820</v>
      </c>
      <c r="F105" s="17" t="n">
        <v>5.7</v>
      </c>
      <c r="G105" s="17" t="n">
        <v>60.3</v>
      </c>
      <c r="H105" s="17" t="inlineStr">
        <is>
          <r>
            <rPr>
              <rFont val="Calibri"/>
              <sz val="11"/>
            </rPr>
            <t>CsPb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5</t>
          </r>
        </is>
      </c>
      <c r="I105" s="17" t="b">
        <v>0</v>
      </c>
      <c r="J105" s="17">
        <f>HYPERLINK("https://doi.org/10.1016/j.jallcom.2019.02.018","Murugadoss (2019)")</f>
        <v/>
      </c>
      <c r="K105" s="17" t="b">
        <v>0</v>
      </c>
      <c r="L105" s="17" t="b">
        <v>0</v>
      </c>
      <c r="M105" s="17" t="b">
        <v>0</v>
      </c>
      <c r="N105" s="17" t="b">
        <v>0</v>
      </c>
    </row>
    <row r="106" ht="15" customFormat="1" customHeight="1" s="17">
      <c r="A106" s="17" t="n"/>
      <c r="B106" s="17" t="inlineStr">
        <is>
          <t>Perovskite</t>
        </is>
      </c>
      <c r="C106" s="22" t="n">
        <v>2.44</v>
      </c>
      <c r="D106" s="19" t="n">
        <v>2.4</v>
      </c>
      <c r="E106" s="20" t="n">
        <v>1140</v>
      </c>
      <c r="F106" s="17" t="n">
        <v>3.4</v>
      </c>
      <c r="G106" s="17" t="n">
        <v>60.9</v>
      </c>
      <c r="H106" s="1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2.1</t>
          </r>
          <r>
            <rPr>
              <rFont val="Calibri"/>
              <sz val="11"/>
            </rPr>
            <t>Cl</t>
          </r>
          <r>
            <rPr>
              <rFont val="Calibri"/>
              <sz val="11"/>
              <vertAlign val="subscript"/>
            </rPr>
            <t>0.9</t>
          </r>
        </is>
      </c>
      <c r="I106" s="17" t="b">
        <v>0</v>
      </c>
      <c r="J106" s="17">
        <f>HYPERLINK("https://doi.org/10.1002/adma.201901683","Zuo (2019)")</f>
        <v/>
      </c>
      <c r="K106" s="17" t="b">
        <v>0</v>
      </c>
      <c r="L106" s="17" t="b">
        <v>0</v>
      </c>
      <c r="M106" s="17" t="b">
        <v>0</v>
      </c>
      <c r="N106" s="17" t="b">
        <v>0</v>
      </c>
    </row>
    <row r="107" ht="15" customFormat="1" customHeight="1" s="17">
      <c r="A107" s="17" t="n"/>
      <c r="B107" s="17" t="inlineStr">
        <is>
          <t>Perovskite</t>
        </is>
      </c>
      <c r="C107" s="22" t="n">
        <v>2.45</v>
      </c>
      <c r="D107" s="19" t="n">
        <v>2.9</v>
      </c>
      <c r="E107" s="20" t="n">
        <v>1010</v>
      </c>
      <c r="F107" s="17" t="n">
        <v>4.1</v>
      </c>
      <c r="G107" s="17" t="n">
        <v>70.90000000000001</v>
      </c>
      <c r="H107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I107" s="17" t="b">
        <v>0</v>
      </c>
      <c r="J107" s="17">
        <f>HYPERLINK("https://doi.org/10.1021/jacs.0c12786","Wang (2021)")</f>
        <v/>
      </c>
      <c r="K107" s="17" t="b">
        <v>0</v>
      </c>
      <c r="L107" s="17" t="b">
        <v>0</v>
      </c>
      <c r="M107" s="17" t="b">
        <v>0</v>
      </c>
      <c r="N107" s="17" t="b">
        <v>0</v>
      </c>
    </row>
    <row r="108" ht="15" customFormat="1" customHeight="1" s="17">
      <c r="A108" s="17" t="n"/>
      <c r="B108" s="17" t="inlineStr">
        <is>
          <t>Perovskite</t>
        </is>
      </c>
      <c r="C108" s="22" t="n">
        <v>2.46</v>
      </c>
      <c r="D108" s="19" t="n">
        <v>1.7</v>
      </c>
      <c r="E108" s="20" t="n">
        <v>1060</v>
      </c>
      <c r="F108" s="17" t="n">
        <v>3.9</v>
      </c>
      <c r="G108" s="17" t="n">
        <v>40.2</v>
      </c>
      <c r="H108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I108" s="17" t="b">
        <v>0</v>
      </c>
      <c r="J108" s="17">
        <f>HYPERLINK("https://doi.org/10.1039/C7TA06816F","Greul (2017)")</f>
        <v/>
      </c>
      <c r="K108" s="17" t="b">
        <v>0</v>
      </c>
      <c r="L108" s="17" t="b">
        <v>0</v>
      </c>
      <c r="M108" s="17" t="b">
        <v>0</v>
      </c>
      <c r="N108" s="17" t="b">
        <v>0</v>
      </c>
    </row>
    <row r="109" ht="15" customFormat="1" customHeight="1" s="17">
      <c r="A109" s="17" t="n"/>
      <c r="B109" s="17" t="inlineStr">
        <is>
          <t>Perovskite</t>
        </is>
      </c>
      <c r="C109" s="22" t="n">
        <v>2.48</v>
      </c>
      <c r="D109" s="19" t="n">
        <v>1.4</v>
      </c>
      <c r="E109" s="20" t="n">
        <v>1060</v>
      </c>
      <c r="F109" s="17" t="n">
        <v>2.5</v>
      </c>
      <c r="G109" s="17" t="n">
        <v>52</v>
      </c>
      <c r="H109" s="1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Cl</t>
          </r>
        </is>
      </c>
      <c r="I109" s="17" t="b">
        <v>0</v>
      </c>
      <c r="J109" s="17">
        <f>HYPERLINK("https://doi.org/10.1002/adma.201901683","Zuo (2019)")</f>
        <v/>
      </c>
      <c r="K109" s="17" t="b">
        <v>0</v>
      </c>
      <c r="L109" s="17" t="b">
        <v>0</v>
      </c>
      <c r="M109" s="17" t="b">
        <v>0</v>
      </c>
      <c r="N109" s="17" t="b">
        <v>0</v>
      </c>
    </row>
    <row r="110" ht="15" customFormat="1" customHeight="1" s="17">
      <c r="A110" s="17" t="n"/>
      <c r="B110" s="17" t="inlineStr">
        <is>
          <t>Perovskite</t>
        </is>
      </c>
      <c r="C110" s="22" t="n">
        <v>1.12</v>
      </c>
      <c r="D110" s="19" t="n">
        <v>12.4</v>
      </c>
      <c r="E110" s="20" t="n">
        <v>967</v>
      </c>
      <c r="F110" s="17" t="n">
        <v>17.5</v>
      </c>
      <c r="G110" s="17" t="n">
        <v>72.90000000000001</v>
      </c>
      <c r="H110" s="17" t="inlineStr">
        <is>
          <r>
            <rPr>
              <rFont val="Calibri"/>
              <sz val="11"/>
            </rPr>
            <t>MAPb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BA2MAn-1SnnI3n</t>
          </r>
          <r>
            <rPr>
              <rFont val="Calibri"/>
              <sz val="11"/>
            </rPr>
            <t>+</t>
          </r>
          <r>
            <rPr>
              <rFont val="Calibri"/>
              <sz val="11"/>
            </rPr>
            <t>1</t>
          </r>
        </is>
      </c>
      <c r="I110" s="17" t="b">
        <v>1</v>
      </c>
      <c r="J110" s="17">
        <f>HYPERLINK("https://doi.org/10.1038/s41586-022-04961-1","Lei (2022)")</f>
        <v/>
      </c>
      <c r="K110" s="17" t="b">
        <v>0</v>
      </c>
      <c r="L110" s="17" t="b">
        <v>0</v>
      </c>
      <c r="M110" s="17" t="b">
        <v>0</v>
      </c>
      <c r="N110" s="17" t="b">
        <v>0</v>
      </c>
    </row>
    <row r="111" ht="15" customFormat="1" customHeight="1" s="17">
      <c r="A111" s="17" t="n"/>
      <c r="B111" s="17" t="inlineStr">
        <is>
          <t>Perovskite</t>
        </is>
      </c>
      <c r="C111" s="22" t="n">
        <v>1.18</v>
      </c>
      <c r="D111" s="19" t="n">
        <v>24.3</v>
      </c>
      <c r="E111" s="20" t="n">
        <v>1070</v>
      </c>
      <c r="F111" s="17" t="n">
        <v>29.1</v>
      </c>
      <c r="G111" s="17" t="n">
        <v>78</v>
      </c>
      <c r="H111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/</t>
          </r>
          <r>
            <rPr>
              <rFont val="Calibri"/>
              <sz val="11"/>
            </rPr>
            <t>BTBTI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PCBM</t>
          </r>
        </is>
      </c>
      <c r="I111" s="17" t="b">
        <v>0</v>
      </c>
      <c r="J111" s="17">
        <f>HYPERLINK("https://doi.org/10.1002/adma.202205809","Zhou (2022)")</f>
        <v/>
      </c>
      <c r="K111" s="17" t="b">
        <v>0</v>
      </c>
      <c r="L111" s="17" t="b">
        <v>0</v>
      </c>
      <c r="M111" s="17" t="b">
        <v>0</v>
      </c>
      <c r="N111" s="17" t="b">
        <v>0</v>
      </c>
    </row>
    <row r="112" ht="15" customFormat="1" customHeight="1" s="17">
      <c r="A112" s="17" t="n"/>
      <c r="B112" s="17" t="inlineStr">
        <is>
          <t>Perovskite</t>
        </is>
      </c>
      <c r="C112" s="22" t="n">
        <v>1.29</v>
      </c>
      <c r="D112" s="19" t="n">
        <v>23.3</v>
      </c>
      <c r="E112" s="20" t="n">
        <v>880</v>
      </c>
      <c r="F112" s="17" t="n">
        <v>32.8</v>
      </c>
      <c r="G112" s="17" t="n">
        <v>80.8</v>
      </c>
      <c r="H112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0.475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0.075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2.925</t>
          </r>
        </is>
      </c>
      <c r="I112" s="17" t="b">
        <v>0</v>
      </c>
      <c r="J112" s="17">
        <f>HYPERLINK("https://doi.org/10.1021/acsenergylett.1c02718","Kapil (2022)")</f>
        <v/>
      </c>
      <c r="K112" s="17" t="b">
        <v>0</v>
      </c>
      <c r="L112" s="17" t="b">
        <v>0</v>
      </c>
      <c r="M112" s="17" t="b">
        <v>0</v>
      </c>
      <c r="N112" s="17" t="b">
        <v>0</v>
      </c>
    </row>
    <row r="113" ht="15" customFormat="1" customHeight="1" s="17">
      <c r="A113" s="17" t="n"/>
      <c r="B113" s="17" t="inlineStr">
        <is>
          <t>Perovskite</t>
        </is>
      </c>
      <c r="C113" s="22" t="n">
        <v>1.4</v>
      </c>
      <c r="D113" s="19" t="n">
        <v>10.1</v>
      </c>
      <c r="E113" s="20" t="n">
        <v>655</v>
      </c>
      <c r="F113" s="17" t="n">
        <v>22.1</v>
      </c>
      <c r="G113" s="17" t="n">
        <v>69.59999999999999</v>
      </c>
      <c r="H113" s="17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 </t>
          </r>
          <r>
            <rPr>
              <rFont val="Calibri"/>
              <sz val="11"/>
            </rPr>
            <t>+</t>
          </r>
          <r>
            <rPr>
              <rFont val="Calibri"/>
              <sz val="11"/>
            </rPr>
            <t xml:space="preserve"> DipI </t>
          </r>
          <r>
            <rPr>
              <rFont val="Calibri"/>
              <sz val="11"/>
            </rPr>
            <t>+</t>
          </r>
          <r>
            <rPr>
              <rFont val="Calibri"/>
              <sz val="11"/>
            </rPr>
            <t xml:space="preserve"> NaBH</t>
          </r>
          <r>
            <rPr>
              <rFont val="Calibri"/>
              <sz val="11"/>
              <vertAlign val="subscript"/>
            </rPr>
            <t>4</t>
          </r>
        </is>
      </c>
      <c r="I113" s="17" t="b">
        <v>0</v>
      </c>
      <c r="J113" s="17">
        <f>HYPERLINK("https://doi.org/10.1016/j.joule.2022.02.014","Sanchez-Diaz (2022)")</f>
        <v/>
      </c>
      <c r="K113" s="17" t="b">
        <v>0</v>
      </c>
      <c r="L113" s="17" t="b">
        <v>0</v>
      </c>
      <c r="M113" s="17" t="b">
        <v>0</v>
      </c>
      <c r="N113" s="17" t="b">
        <v>0</v>
      </c>
    </row>
    <row r="114" ht="15" customFormat="1" customHeight="1" s="17">
      <c r="A114" s="17" t="n"/>
      <c r="B114" s="17" t="inlineStr">
        <is>
          <t>Perovskite</t>
        </is>
      </c>
      <c r="C114" s="22" t="n">
        <v>1.44</v>
      </c>
      <c r="D114" s="19" t="n">
        <v>12.3</v>
      </c>
      <c r="E114" s="20" t="n">
        <v>750</v>
      </c>
      <c r="F114" s="17" t="n">
        <v>21.7</v>
      </c>
      <c r="G114" s="17" t="n">
        <v>75.3</v>
      </c>
      <c r="H114" s="17" t="inlineStr">
        <is>
          <r>
            <rPr>
              <rFont val="Calibri"/>
              <sz val="11"/>
            </rPr>
            <t>EA</t>
          </r>
          <r>
            <rPr>
              <rFont val="Calibri"/>
              <sz val="11"/>
              <vertAlign val="subscript"/>
            </rPr>
            <t>0.0981</t>
          </r>
          <r>
            <rPr>
              <rFont val="Calibri"/>
              <sz val="11"/>
            </rPr>
            <t>EDA</t>
          </r>
          <r>
            <rPr>
              <rFont val="Calibri"/>
              <sz val="11"/>
              <vertAlign val="subscript"/>
            </rPr>
            <t>0.01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0.882</t>
          </r>
          <r>
            <rPr>
              <rFont val="Calibri"/>
              <sz val="11"/>
            </rPr>
            <t>SnI</t>
          </r>
          <r>
            <rPr>
              <rFont val="Calibri"/>
              <sz val="11"/>
              <vertAlign val="subscript"/>
            </rPr>
            <t>3</t>
          </r>
        </is>
      </c>
      <c r="I114" s="17" t="b">
        <v>0</v>
      </c>
      <c r="J114" s="17">
        <f>HYPERLINK("https://doi.org/10.1002/adfm.202109631","Su (2022)")</f>
        <v/>
      </c>
      <c r="K114" s="17" t="b">
        <v>0</v>
      </c>
      <c r="L114" s="17" t="b">
        <v>0</v>
      </c>
      <c r="M114" s="17" t="b">
        <v>0</v>
      </c>
      <c r="N114" s="17" t="b">
        <v>0</v>
      </c>
    </row>
    <row r="115" ht="15" customFormat="1" customHeight="1" s="17">
      <c r="A115" s="17" t="n"/>
      <c r="B115" s="17" t="inlineStr">
        <is>
          <t>Perovskite</t>
        </is>
      </c>
      <c r="C115" s="22" t="n">
        <v>1.58</v>
      </c>
      <c r="D115" s="19" t="n">
        <v>23</v>
      </c>
      <c r="E115" s="20" t="n">
        <v>1170</v>
      </c>
      <c r="F115" s="17" t="n">
        <v>23.4</v>
      </c>
      <c r="G115" s="17" t="n">
        <v>83.7</v>
      </c>
      <c r="H115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0.26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2.74</t>
          </r>
        </is>
      </c>
      <c r="I115" s="17" t="b">
        <v>0</v>
      </c>
      <c r="J115" s="17">
        <f>HYPERLINK("https://doi.org/10.1038/s41586-021-04216-5","Peng (2022)")</f>
        <v/>
      </c>
      <c r="K115" s="17" t="b">
        <v>0</v>
      </c>
      <c r="L115" s="17" t="b">
        <v>1</v>
      </c>
      <c r="M115" s="17" t="b">
        <v>0</v>
      </c>
      <c r="N115" s="17" t="b">
        <v>0</v>
      </c>
    </row>
    <row r="116" ht="15" customFormat="1" customHeight="1" s="17">
      <c r="A116" s="17" t="n"/>
      <c r="B116" s="17" t="inlineStr">
        <is>
          <t>Perovskite</t>
        </is>
      </c>
      <c r="C116" s="22" t="n">
        <v>1.64</v>
      </c>
      <c r="D116" s="19" t="n">
        <v>22.4</v>
      </c>
      <c r="E116" s="20" t="n">
        <v>1130</v>
      </c>
      <c r="F116" s="17" t="n">
        <v>23.7</v>
      </c>
      <c r="G116" s="17" t="n">
        <v>83.8</v>
      </c>
      <c r="H116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16" s="17" t="b">
        <v>0</v>
      </c>
      <c r="J116" s="17">
        <f>HYPERLINK("https://doi.org/10.1002/anie.202116534","Wang (2022)")</f>
        <v/>
      </c>
      <c r="K116" s="17" t="b">
        <v>0</v>
      </c>
      <c r="L116" s="17" t="b">
        <v>0</v>
      </c>
      <c r="M116" s="17" t="b">
        <v>0</v>
      </c>
      <c r="N116" s="17" t="b">
        <v>0</v>
      </c>
    </row>
    <row r="117" ht="15" customFormat="1" customHeight="1" s="17">
      <c r="A117" s="17" t="n"/>
      <c r="B117" s="17" t="inlineStr">
        <is>
          <t>Perovskite</t>
        </is>
      </c>
      <c r="C117" s="22" t="n">
        <v>1.74</v>
      </c>
      <c r="D117" s="19" t="n">
        <v>20.2</v>
      </c>
      <c r="E117" s="20" t="n">
        <v>1210</v>
      </c>
      <c r="F117" s="17" t="n">
        <v>19.3</v>
      </c>
      <c r="G117" s="17" t="n">
        <v>86.5</v>
      </c>
      <c r="H117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0.7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17" s="17" t="b">
        <v>0</v>
      </c>
      <c r="J117" s="17">
        <f>HYPERLINK("https://doi.org/10.1002/aenm.202201672","Mahmud (2022)")</f>
        <v/>
      </c>
      <c r="K117" s="17" t="b">
        <v>0</v>
      </c>
      <c r="L117" s="17" t="b">
        <v>0</v>
      </c>
      <c r="M117" s="17" t="b">
        <v>0</v>
      </c>
      <c r="N117" s="17" t="b">
        <v>0</v>
      </c>
    </row>
    <row r="118" ht="15" customFormat="1" customHeight="1" s="17">
      <c r="A118" s="17" t="n"/>
      <c r="B118" s="17" t="inlineStr">
        <is>
          <t>Perovskite</t>
        </is>
      </c>
      <c r="C118" s="22" t="n">
        <v>1.82</v>
      </c>
      <c r="D118" s="19" t="n">
        <v>17.2</v>
      </c>
      <c r="E118" s="20" t="n">
        <v>1270</v>
      </c>
      <c r="F118" s="17" t="n">
        <v>16.8</v>
      </c>
      <c r="G118" s="17" t="n">
        <v>80.90000000000001</v>
      </c>
      <c r="H118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0.35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I118" s="17" t="b">
        <v>0</v>
      </c>
      <c r="J118" s="17">
        <f>HYPERLINK("https://doi.org/10.1126/science.abn7696","Xiao (2022)")</f>
        <v/>
      </c>
      <c r="K118" s="17" t="b">
        <v>0</v>
      </c>
      <c r="L118" s="17" t="b">
        <v>0</v>
      </c>
      <c r="M118" s="17" t="b">
        <v>0</v>
      </c>
      <c r="N118" s="17" t="b">
        <v>0</v>
      </c>
    </row>
    <row r="119" ht="15" customFormat="1" customHeight="1" s="17">
      <c r="A119" s="17" t="n"/>
      <c r="B119" s="17" t="inlineStr">
        <is>
          <t>Perovskite</t>
        </is>
      </c>
      <c r="C119" s="22" t="n">
        <v>1.83</v>
      </c>
      <c r="D119" s="19" t="n">
        <v>16.9</v>
      </c>
      <c r="E119" s="20" t="n">
        <v>1240</v>
      </c>
      <c r="F119" s="17" t="n">
        <v>16.9</v>
      </c>
      <c r="G119" s="17" t="n">
        <v>80.59999999999999</v>
      </c>
      <c r="H119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19" s="17" t="b">
        <v>0</v>
      </c>
      <c r="J119" s="17">
        <f>HYPERLINK("https://doi.org/10.1002/adma.202108829","Qin (2022)")</f>
        <v/>
      </c>
      <c r="K119" s="17" t="b">
        <v>0</v>
      </c>
      <c r="L119" s="17" t="b">
        <v>0</v>
      </c>
      <c r="M119" s="17" t="b">
        <v>0</v>
      </c>
      <c r="N119" s="17" t="b">
        <v>0</v>
      </c>
    </row>
    <row r="120" ht="15" customFormat="1" customHeight="1" s="17">
      <c r="A120" s="17" t="n"/>
      <c r="B120" s="17" t="inlineStr">
        <is>
          <t>Perovskite</t>
        </is>
      </c>
      <c r="C120" s="22" t="n">
        <v>1.94</v>
      </c>
      <c r="D120" s="19" t="n">
        <v>13.4</v>
      </c>
      <c r="E120" s="20" t="n">
        <v>1240</v>
      </c>
      <c r="F120" s="17" t="n">
        <v>14.2</v>
      </c>
      <c r="G120" s="17" t="n">
        <v>76</v>
      </c>
      <c r="H120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I120" s="17" t="b">
        <v>0</v>
      </c>
      <c r="J120" s="17">
        <f>HYPERLINK("https://doi.org/10.1002/adfm.202109321","Chen (2022)")</f>
        <v/>
      </c>
      <c r="K120" s="17" t="b">
        <v>0</v>
      </c>
      <c r="L120" s="17" t="b">
        <v>0</v>
      </c>
      <c r="M120" s="17" t="b">
        <v>0</v>
      </c>
      <c r="N120" s="17" t="b">
        <v>0</v>
      </c>
    </row>
    <row r="121" ht="15" customFormat="1" customHeight="1" s="17">
      <c r="A121" s="17" t="n"/>
      <c r="B121" s="17" t="inlineStr">
        <is>
          <t>Perovskite</t>
        </is>
      </c>
      <c r="C121" s="22" t="n">
        <v>2.2</v>
      </c>
      <c r="D121" s="19" t="n">
        <v>8.9</v>
      </c>
      <c r="E121" s="20" t="n">
        <v>1640</v>
      </c>
      <c r="F121" s="17" t="n">
        <v>7.7</v>
      </c>
      <c r="G121" s="17" t="n">
        <v>70.59999999999999</v>
      </c>
      <c r="H121" s="17" t="inlineStr">
        <is>
          <r>
            <rPr>
              <rFont val="Calibri"/>
              <sz val="11"/>
            </rPr>
            <t>FAPbBr</t>
          </r>
          <r>
            <rPr>
              <rFont val="Calibri"/>
              <sz val="11"/>
              <vertAlign val="subscript"/>
            </rPr>
            <t>3</t>
          </r>
        </is>
      </c>
      <c r="I121" s="17" t="b">
        <v>0</v>
      </c>
      <c r="J121" s="17">
        <f>HYPERLINK("https://doi.org/10.1016/j.cej.2022.135181","Xu (2022)")</f>
        <v/>
      </c>
      <c r="K121" s="17" t="b">
        <v>0</v>
      </c>
      <c r="L121" s="17" t="b">
        <v>0</v>
      </c>
      <c r="M121" s="17" t="b">
        <v>0</v>
      </c>
      <c r="N121" s="17" t="b">
        <v>0</v>
      </c>
    </row>
    <row r="122" ht="15" customFormat="1" customHeight="1" s="17">
      <c r="A122" s="17" t="n"/>
      <c r="B122" s="17" t="inlineStr">
        <is>
          <t>Perovskite</t>
        </is>
      </c>
      <c r="C122" s="22" t="n">
        <v>2.31</v>
      </c>
      <c r="D122" s="19" t="n">
        <v>10.2</v>
      </c>
      <c r="E122" s="20" t="n">
        <v>1650</v>
      </c>
      <c r="F122" s="17" t="n">
        <v>8.699999999999999</v>
      </c>
      <c r="G122" s="17" t="n">
        <v>71.09999999999999</v>
      </c>
      <c r="H122" s="17" t="inlineStr">
        <is>
          <r>
            <rPr>
              <rFont val="Calibri"/>
              <sz val="11"/>
            </rPr>
            <t>MAPbBr</t>
          </r>
          <r>
            <rPr>
              <rFont val="Calibri"/>
              <sz val="11"/>
              <vertAlign val="subscript"/>
            </rPr>
            <t>3</t>
          </r>
        </is>
      </c>
      <c r="I122" s="17" t="b">
        <v>0</v>
      </c>
      <c r="J122" s="17">
        <f>HYPERLINK("https://doi.org/10.1021/acsenergylett.1c02431","Zhu (2022)")</f>
        <v/>
      </c>
      <c r="K122" s="17" t="b">
        <v>0</v>
      </c>
      <c r="L122" s="17" t="b">
        <v>0</v>
      </c>
      <c r="M122" s="17" t="b">
        <v>0</v>
      </c>
      <c r="N122" s="17" t="b">
        <v>0</v>
      </c>
    </row>
    <row r="123" ht="15" customFormat="1" customHeight="1" s="17">
      <c r="A123" s="17" t="n"/>
      <c r="B123" s="17" t="inlineStr">
        <is>
          <t>Perovskite</t>
        </is>
      </c>
      <c r="C123" s="22" t="n">
        <v>2.34</v>
      </c>
      <c r="D123" s="19" t="n">
        <v>10.7</v>
      </c>
      <c r="E123" s="20" t="n">
        <v>1640</v>
      </c>
      <c r="F123" s="17" t="n">
        <v>7.8</v>
      </c>
      <c r="G123" s="17" t="n">
        <v>84.09999999999999</v>
      </c>
      <c r="H123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I123" s="17" t="b">
        <v>0</v>
      </c>
      <c r="J123" s="17">
        <f>HYPERLINK("https://doi.org/10.1016/j.nanoen.2022.107138","Yao (2022)")</f>
        <v/>
      </c>
      <c r="K123" s="17" t="b">
        <v>0</v>
      </c>
      <c r="L123" s="17" t="b">
        <v>0</v>
      </c>
      <c r="M123" s="17" t="b">
        <v>0</v>
      </c>
      <c r="N123" s="17" t="b">
        <v>0</v>
      </c>
    </row>
    <row r="124" ht="15" customFormat="1" customHeight="1" s="17">
      <c r="A124" s="17" t="n"/>
      <c r="B124" s="17" t="inlineStr">
        <is>
          <t>Perovskite</t>
        </is>
      </c>
      <c r="C124" s="22" t="n">
        <v>2.47</v>
      </c>
      <c r="D124" s="19" t="n">
        <v>3.3</v>
      </c>
      <c r="E124" s="20" t="n">
        <v>1280</v>
      </c>
      <c r="F124" s="17" t="n">
        <v>3.3</v>
      </c>
      <c r="G124" s="17" t="n">
        <v>77.5</v>
      </c>
      <c r="H124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AgBiBr</t>
          </r>
          <r>
            <rPr>
              <rFont val="Calibri"/>
              <sz val="11"/>
              <vertAlign val="subscript"/>
            </rPr>
            <t>6</t>
          </r>
        </is>
      </c>
      <c r="I124" s="17" t="b">
        <v>0</v>
      </c>
      <c r="J124" s="17">
        <f>HYPERLINK("https://doi.org/10.1016/j.cej.2022.137144","Li (2022)")</f>
        <v/>
      </c>
      <c r="K124" s="17" t="b">
        <v>0</v>
      </c>
      <c r="L124" s="17" t="b">
        <v>0</v>
      </c>
      <c r="M124" s="17" t="b">
        <v>0</v>
      </c>
      <c r="N124" s="17" t="b">
        <v>0</v>
      </c>
    </row>
    <row r="125" ht="15" customFormat="1" customHeight="1" s="17">
      <c r="A125" s="17" t="n"/>
      <c r="B125" s="17" t="inlineStr">
        <is>
          <t>Perovskite</t>
        </is>
      </c>
      <c r="C125" s="22" t="n">
        <v>2.3</v>
      </c>
      <c r="D125" s="19" t="n">
        <v>11.2</v>
      </c>
      <c r="E125" s="20" t="n">
        <v>1570</v>
      </c>
      <c r="F125" s="17" t="n">
        <v>8.5</v>
      </c>
      <c r="G125" s="17" t="n">
        <v>83.59999999999999</v>
      </c>
      <c r="H125" s="17" t="inlineStr">
        <is>
          <r>
            <rPr>
              <rFont val="Calibri"/>
              <sz val="11"/>
            </rPr>
            <t>CsPbBr</t>
          </r>
          <r>
            <rPr>
              <rFont val="Calibri"/>
              <sz val="11"/>
              <vertAlign val="subscript"/>
            </rPr>
            <t>3</t>
          </r>
        </is>
      </c>
      <c r="I125" s="17" t="b">
        <v>0</v>
      </c>
      <c r="J125" s="17">
        <f>HYPERLINK("https://doi.org/10.1039/D2TA06092B","Guo (2023)")</f>
        <v/>
      </c>
      <c r="K125" s="17" t="b">
        <v>0</v>
      </c>
      <c r="L125" s="17" t="b">
        <v>0</v>
      </c>
      <c r="M125" s="17" t="b">
        <v>0</v>
      </c>
      <c r="N125" s="17" t="b">
        <v>0</v>
      </c>
    </row>
    <row r="126" ht="15" customFormat="1" customHeight="1" s="17">
      <c r="A126" s="17" t="n"/>
      <c r="B126" s="17" t="inlineStr">
        <is>
          <t>Perovskite</t>
        </is>
      </c>
      <c r="C126" s="22" t="n">
        <v>1.47</v>
      </c>
      <c r="D126" s="19" t="n">
        <v>13.1</v>
      </c>
      <c r="E126" s="20" t="n">
        <v>770</v>
      </c>
      <c r="F126" s="17" t="n">
        <v>22.9</v>
      </c>
      <c r="G126" s="17" t="n">
        <v>74.40000000000001</v>
      </c>
      <c r="H126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SnI</t>
          </r>
          <r>
            <rPr>
              <rFont val="Calibri"/>
              <sz val="11"/>
              <vertAlign val="subscript"/>
            </rPr>
            <t>3</t>
          </r>
        </is>
      </c>
      <c r="I126" s="17" t="b">
        <v>0</v>
      </c>
      <c r="J126" s="17">
        <f>HYPERLINK("https://doi.org/10.1002/solr.202200997","Zhang (2023)")</f>
        <v/>
      </c>
      <c r="K126" s="17" t="b">
        <v>0</v>
      </c>
      <c r="L126" s="17" t="b">
        <v>0</v>
      </c>
      <c r="M126" s="17" t="b">
        <v>0</v>
      </c>
      <c r="N126" s="17" t="b">
        <v>0</v>
      </c>
    </row>
    <row r="127" ht="15" customFormat="1" customHeight="1" s="17">
      <c r="A127" s="17" t="n"/>
      <c r="B127" s="17" t="inlineStr">
        <is>
          <t>Perovskite</t>
        </is>
      </c>
      <c r="C127" s="22" t="n">
        <v>1.99</v>
      </c>
      <c r="D127" s="19" t="n">
        <v>13.4</v>
      </c>
      <c r="E127" s="20" t="n">
        <v>1310</v>
      </c>
      <c r="F127" s="17" t="n">
        <v>13.4</v>
      </c>
      <c r="G127" s="17" t="n">
        <v>76.3</v>
      </c>
      <c r="H127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Rb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1.75</t>
          </r>
        </is>
      </c>
      <c r="I127" s="17" t="b">
        <v>0</v>
      </c>
      <c r="J127" s="17">
        <f>HYPERLINK("https://doi.org/10.1038/s41586-023-06006-7","Wang (2023)")</f>
        <v/>
      </c>
      <c r="K127" s="17" t="b">
        <v>0</v>
      </c>
      <c r="L127" s="17" t="b">
        <v>0</v>
      </c>
      <c r="M127" s="17" t="b">
        <v>0</v>
      </c>
      <c r="N127" s="17" t="b">
        <v>0</v>
      </c>
    </row>
    <row r="128" ht="15" customFormat="1" customHeight="1" s="17">
      <c r="A128" s="17" t="n"/>
      <c r="B128" s="17" t="inlineStr">
        <is>
          <t>Perovskite</t>
        </is>
      </c>
      <c r="C128" s="22" t="n">
        <v>1.9</v>
      </c>
      <c r="D128" s="19" t="n">
        <v>16.9</v>
      </c>
      <c r="E128" s="20" t="n">
        <v>1270</v>
      </c>
      <c r="F128" s="17" t="n">
        <v>16.2</v>
      </c>
      <c r="G128" s="17" t="n">
        <v>82.09999999999999</v>
      </c>
      <c r="H128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I128" s="17" t="b">
        <v>0</v>
      </c>
      <c r="J128" s="17">
        <f>HYPERLINK("https://doi.org/10.1038/s41467-023-36141-8","Caprioglio (2023)")</f>
        <v/>
      </c>
      <c r="K128" s="17" t="b">
        <v>0</v>
      </c>
      <c r="L128" s="17" t="b">
        <v>0</v>
      </c>
      <c r="M128" s="17" t="b">
        <v>0</v>
      </c>
      <c r="N128" s="17" t="b">
        <v>0</v>
      </c>
    </row>
    <row r="129" ht="15" customFormat="1" customHeight="1" s="17">
      <c r="A129" s="17" t="n"/>
      <c r="B129" s="17" t="inlineStr">
        <is>
          <t>Perovskite</t>
        </is>
      </c>
      <c r="C129" s="22" t="n">
        <v>1.7</v>
      </c>
      <c r="D129" s="19" t="n">
        <v>21.6</v>
      </c>
      <c r="E129" s="20" t="n">
        <v>1220</v>
      </c>
      <c r="F129" s="17" t="n">
        <v>21.7</v>
      </c>
      <c r="G129" s="17" t="n">
        <v>81.59999999999999</v>
      </c>
      <c r="H129" s="17" t="inlineStr">
        <is>
          <r>
            <rPr>
              <rFont val="Calibri"/>
              <sz val="11"/>
            </rPr>
            <t>CsPbI</t>
          </r>
          <r>
            <rPr>
              <rFont val="Calibri"/>
              <sz val="11"/>
              <vertAlign val="subscript"/>
            </rPr>
            <t>3</t>
          </r>
        </is>
      </c>
      <c r="I129" s="17" t="b">
        <v>0</v>
      </c>
      <c r="J129" s="17">
        <f>HYPERLINK("https://doi.org/10.1038/s41560-023-01310-y","Mali (2023)")</f>
        <v/>
      </c>
      <c r="K129" s="17" t="b">
        <v>0</v>
      </c>
      <c r="L129" s="17" t="b">
        <v>0</v>
      </c>
      <c r="M129" s="17" t="b">
        <v>0</v>
      </c>
      <c r="N129" s="17" t="b">
        <v>0</v>
      </c>
    </row>
    <row r="130" ht="15" customFormat="1" customHeight="1" s="17">
      <c r="A130" s="17" t="n"/>
      <c r="B130" s="17" t="inlineStr">
        <is>
          <t>Perovskite</t>
        </is>
      </c>
      <c r="C130" s="22" t="n">
        <v>1.28</v>
      </c>
      <c r="D130" s="19" t="n">
        <v>21.2</v>
      </c>
      <c r="E130" s="20" t="n">
        <v>820</v>
      </c>
      <c r="F130" s="17" t="n">
        <v>32.5</v>
      </c>
      <c r="G130" s="17" t="n">
        <v>79.5</v>
      </c>
      <c r="H130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130" s="17" t="b">
        <v>0</v>
      </c>
      <c r="J130" s="17">
        <f>HYPERLINK("https://doi.org/10.1021/acsenergylett.2c01578","Wang (2022)")</f>
        <v/>
      </c>
      <c r="K130" s="17" t="b">
        <v>0</v>
      </c>
      <c r="L130" s="17" t="b">
        <v>0</v>
      </c>
      <c r="M130" s="17" t="b">
        <v>0</v>
      </c>
      <c r="N130" s="17" t="b">
        <v>0</v>
      </c>
    </row>
    <row r="131" ht="15" customFormat="1" customHeight="1" s="17">
      <c r="A131" s="17" t="n"/>
      <c r="B131" s="17" t="inlineStr">
        <is>
          <t>Perovskite</t>
        </is>
      </c>
      <c r="C131" s="22" t="n">
        <v>1.59</v>
      </c>
      <c r="D131" s="19" t="n">
        <v>22.1</v>
      </c>
      <c r="E131" s="20" t="n">
        <v>1160</v>
      </c>
      <c r="F131" s="17" t="n">
        <v>23.1</v>
      </c>
      <c r="G131" s="17" t="n">
        <v>82.40000000000001</v>
      </c>
      <c r="H131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31" s="17" t="b">
        <v>0</v>
      </c>
      <c r="J131" s="17">
        <f>HYPERLINK("https://doi.org/10.1002/smll.202203886","Wang (2022)")</f>
        <v/>
      </c>
      <c r="K131" s="17" t="b">
        <v>0</v>
      </c>
      <c r="L131" s="17" t="b">
        <v>0</v>
      </c>
      <c r="M131" s="17" t="b">
        <v>0</v>
      </c>
      <c r="N131" s="17" t="b">
        <v>0</v>
      </c>
    </row>
    <row r="132" ht="15" customFormat="1" customHeight="1" s="17">
      <c r="A132" s="17" t="n"/>
      <c r="B132" s="17" t="inlineStr">
        <is>
          <t>Perovskite</t>
        </is>
      </c>
      <c r="C132" s="22" t="n">
        <v>1.45</v>
      </c>
      <c r="D132" s="19" t="n">
        <v>14.8</v>
      </c>
      <c r="E132" s="20" t="n">
        <v>820</v>
      </c>
      <c r="F132" s="17" t="n">
        <v>25.2</v>
      </c>
      <c r="G132" s="17" t="n">
        <v>71.7</v>
      </c>
      <c r="H132" s="17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FPEABr</t>
          </r>
        </is>
      </c>
      <c r="I132" s="17" t="b">
        <v>0</v>
      </c>
      <c r="J132" s="17">
        <f>HYPERLINK("https://doi.org/10.1002/adma.202102055","Yu (2021)")</f>
        <v/>
      </c>
      <c r="K132" s="17" t="b">
        <v>0</v>
      </c>
      <c r="L132" s="17" t="b">
        <v>0</v>
      </c>
      <c r="M132" s="17" t="b">
        <v>0</v>
      </c>
      <c r="N132" s="17" t="b">
        <v>0</v>
      </c>
    </row>
    <row r="133" ht="15" customFormat="1" customHeight="1" s="17">
      <c r="A133" s="17" t="n"/>
      <c r="B133" s="17" t="inlineStr">
        <is>
          <t>Perovskite</t>
        </is>
      </c>
      <c r="C133" s="22" t="n">
        <v>1.68</v>
      </c>
      <c r="D133" s="19" t="n">
        <v>22.7</v>
      </c>
      <c r="E133" s="20" t="n">
        <v>1200</v>
      </c>
      <c r="F133" s="17" t="n">
        <v>22.5</v>
      </c>
      <c r="G133" s="17" t="n">
        <v>83.90000000000001</v>
      </c>
      <c r="H133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2.25</t>
          </r>
        </is>
      </c>
      <c r="I133" s="17" t="b">
        <v>1</v>
      </c>
      <c r="J133" s="17">
        <f>HYPERLINK("https://doi.org/10.1038/s41586-024-07712-6","Zhao (2024)")</f>
        <v/>
      </c>
      <c r="K133" s="17" t="b">
        <v>0</v>
      </c>
      <c r="L133" s="17" t="b">
        <v>0</v>
      </c>
      <c r="M133" s="17" t="b">
        <v>0</v>
      </c>
      <c r="N133" s="17" t="b">
        <v>0</v>
      </c>
    </row>
    <row r="134" ht="15" customFormat="1" customHeight="1" s="17">
      <c r="A134" s="17" t="n"/>
      <c r="B134" s="17" t="inlineStr">
        <is>
          <t>Perovskite</t>
        </is>
      </c>
      <c r="C134" s="22" t="n">
        <v>1.4</v>
      </c>
      <c r="D134" s="19" t="n">
        <v>15.4</v>
      </c>
      <c r="E134" s="20" t="n">
        <v>856</v>
      </c>
      <c r="F134" s="17" t="n">
        <v>24.8</v>
      </c>
      <c r="G134" s="17" t="n">
        <v>72.5</v>
      </c>
      <c r="H134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PEA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SnI</t>
          </r>
          <r>
            <rPr>
              <rFont val="Calibri"/>
              <sz val="11"/>
              <vertAlign val="subscript"/>
            </rPr>
            <t>3</t>
          </r>
        </is>
      </c>
      <c r="I134" s="17" t="b">
        <v>0</v>
      </c>
      <c r="J134" s="17">
        <f>HYPERLINK("https://doi.org/10.1038/s41566-024-01381-7","Chen (2024)")</f>
        <v/>
      </c>
      <c r="K134" s="17" t="b">
        <v>0</v>
      </c>
      <c r="L134" s="17" t="b">
        <v>0</v>
      </c>
      <c r="M134" s="17" t="b">
        <v>0</v>
      </c>
      <c r="N134" s="17" t="b">
        <v>0</v>
      </c>
    </row>
    <row r="135" ht="15" customFormat="1" customHeight="1" s="17">
      <c r="A135" s="17" t="n"/>
      <c r="B135" s="17" t="inlineStr">
        <is>
          <t>Perovskite</t>
        </is>
      </c>
      <c r="C135" s="22" t="n">
        <v>1.35</v>
      </c>
      <c r="D135" s="19" t="n">
        <v>21.2</v>
      </c>
      <c r="E135" s="20" t="n">
        <v>846</v>
      </c>
      <c r="F135" s="17" t="n">
        <v>31.4</v>
      </c>
      <c r="G135" s="17" t="n">
        <v>79.8</v>
      </c>
      <c r="H135" s="17" t="inlineStr">
        <is>
          <r>
            <rPr>
              <rFont val="Calibri"/>
              <sz val="11"/>
            </rPr>
            <t xml:space="preserve"> FAPb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135" s="17" t="b">
        <v>0</v>
      </c>
      <c r="J135" s="17">
        <f>HYPERLINK("https://doi.org/10.1039/D3EE04343F","Zhou (2024)")</f>
        <v/>
      </c>
      <c r="K135" s="17" t="b">
        <v>0</v>
      </c>
      <c r="L135" s="17" t="b">
        <v>0</v>
      </c>
      <c r="M135" s="17" t="b">
        <v>0</v>
      </c>
      <c r="N135" s="17" t="b">
        <v>0</v>
      </c>
    </row>
    <row r="136" ht="15" customFormat="1" customHeight="1" s="17">
      <c r="A136" s="17" t="n"/>
      <c r="B136" s="17" t="inlineStr">
        <is>
          <t>Perovskite</t>
        </is>
      </c>
      <c r="C136" s="22" t="n">
        <v>1.41</v>
      </c>
      <c r="D136" s="19" t="n">
        <v>14</v>
      </c>
      <c r="E136" s="20" t="n">
        <v>780</v>
      </c>
      <c r="F136" s="17" t="n">
        <v>23.6</v>
      </c>
      <c r="G136" s="17" t="n">
        <v>76.09999999999999</v>
      </c>
      <c r="H136" s="17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</is>
      </c>
      <c r="I136" s="17" t="b">
        <v>0</v>
      </c>
      <c r="J136" s="17">
        <f>HYPERLINK("https://doi.org/10.1039/D3EE03359G","Zhou (2024)")</f>
        <v/>
      </c>
      <c r="K136" s="17" t="b">
        <v>0</v>
      </c>
      <c r="L136" s="17" t="b">
        <v>0</v>
      </c>
      <c r="M136" s="17" t="b">
        <v>0</v>
      </c>
      <c r="N136" s="17" t="b">
        <v>0</v>
      </c>
    </row>
    <row r="137" ht="15" customFormat="1" customHeight="1" s="17">
      <c r="A137" s="17" t="n"/>
      <c r="B137" s="17" t="inlineStr">
        <is>
          <t>Perovskite</t>
        </is>
      </c>
      <c r="C137" s="22" t="n">
        <v>1.66</v>
      </c>
      <c r="D137" s="19" t="n">
        <v>21.3</v>
      </c>
      <c r="E137" s="20" t="n">
        <v>1260</v>
      </c>
      <c r="F137" s="17" t="n">
        <v>20.5</v>
      </c>
      <c r="G137" s="17" t="n">
        <v>82.5</v>
      </c>
      <c r="H137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2.4</t>
          </r>
        </is>
      </c>
      <c r="I137" s="17" t="b">
        <v>0</v>
      </c>
      <c r="J137" s="17">
        <f>HYPERLINK("https://doi.org/10.1016/j.joule.2023.09.007","Wang (2023)")</f>
        <v/>
      </c>
      <c r="K137" s="17" t="b">
        <v>0</v>
      </c>
      <c r="L137" s="17" t="b">
        <v>0</v>
      </c>
      <c r="M137" s="17" t="b">
        <v>0</v>
      </c>
      <c r="N137" s="17" t="b">
        <v>0</v>
      </c>
    </row>
    <row r="138" ht="15" customFormat="1" customHeight="1" s="17">
      <c r="A138" s="17" t="n"/>
      <c r="B138" s="17" t="inlineStr">
        <is>
          <t>Perovskite</t>
        </is>
      </c>
      <c r="C138" s="22" t="n">
        <v>1.42</v>
      </c>
      <c r="D138" s="19" t="n">
        <v>17.1</v>
      </c>
      <c r="E138" s="20" t="n">
        <v>830</v>
      </c>
      <c r="F138" s="17" t="n">
        <v>26.9</v>
      </c>
      <c r="G138" s="17" t="n">
        <v>76.7</v>
      </c>
      <c r="H138" s="17" t="inlineStr">
        <is>
          <r>
            <rPr>
              <rFont val="Calibri"/>
              <sz val="11"/>
            </rPr>
            <t>CsPb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138" s="17" t="b">
        <v>0</v>
      </c>
      <c r="J138" s="17">
        <f>HYPERLINK("https://doi.org/10.1002/adma.202309193","Zhang (2024)")</f>
        <v/>
      </c>
      <c r="K138" s="17" t="b">
        <v>0</v>
      </c>
      <c r="L138" s="17" t="b">
        <v>0</v>
      </c>
      <c r="M138" s="17" t="b">
        <v>0</v>
      </c>
      <c r="N138" s="17" t="b">
        <v>0</v>
      </c>
    </row>
    <row r="139" ht="15" customFormat="1" customHeight="1" s="17">
      <c r="A139" s="17" t="n"/>
      <c r="B139" s="17" t="inlineStr">
        <is>
          <t>Perovskite</t>
        </is>
      </c>
      <c r="C139" s="22" t="n">
        <v>1.46</v>
      </c>
      <c r="D139" s="19" t="n">
        <v>14.2</v>
      </c>
      <c r="E139" s="20" t="n">
        <v>821</v>
      </c>
      <c r="F139" s="17" t="n">
        <v>23.3</v>
      </c>
      <c r="G139" s="17" t="n">
        <v>74.09999999999999</v>
      </c>
      <c r="H139" s="17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</is>
      </c>
      <c r="I139" s="17" t="b">
        <v>0</v>
      </c>
      <c r="J139" s="17">
        <f>HYPERLINK("https://doi.org/10.1002/adma.202309768","Li (2024)")</f>
        <v/>
      </c>
      <c r="K139" s="17" t="b">
        <v>0</v>
      </c>
      <c r="L139" s="17" t="b">
        <v>0</v>
      </c>
      <c r="M139" s="17" t="b">
        <v>0</v>
      </c>
      <c r="N139" s="17" t="b">
        <v>0</v>
      </c>
    </row>
    <row r="140" ht="15" customFormat="1" customHeight="1" s="17">
      <c r="A140" s="17" t="n"/>
      <c r="B140" s="17" t="inlineStr">
        <is>
          <t>Perovskite</t>
        </is>
      </c>
      <c r="C140" s="22" t="n">
        <v>1.73</v>
      </c>
      <c r="D140" s="19" t="n">
        <v>14.1</v>
      </c>
      <c r="E140" s="20" t="n">
        <v>1230</v>
      </c>
      <c r="F140" s="17" t="n">
        <v>15.9</v>
      </c>
      <c r="G140" s="17" t="n">
        <v>72.09999999999999</v>
      </c>
      <c r="H140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PbBrI</t>
          </r>
          <r>
            <rPr>
              <rFont val="Calibri"/>
              <sz val="11"/>
              <vertAlign val="subscript"/>
            </rPr>
            <t>2</t>
          </r>
        </is>
      </c>
      <c r="I140" s="17" t="b">
        <v>0</v>
      </c>
      <c r="J140" s="17">
        <f>HYPERLINK("https://doi.org/10.1002/aenm.202402473","Sharma (2024)")</f>
        <v/>
      </c>
      <c r="K140" s="17" t="b">
        <v>0</v>
      </c>
      <c r="L140" s="17" t="b">
        <v>0</v>
      </c>
      <c r="M140" s="17" t="b">
        <v>0</v>
      </c>
      <c r="N140" s="17" t="b">
        <v>0</v>
      </c>
    </row>
    <row r="141" ht="15" customFormat="1" customHeight="1" s="17">
      <c r="A141" s="17" t="n"/>
      <c r="B141" s="17" t="inlineStr">
        <is>
          <t>Perovskite</t>
        </is>
      </c>
      <c r="C141" s="22" t="n">
        <v>1.91</v>
      </c>
      <c r="D141" s="19" t="n">
        <v>16.2</v>
      </c>
      <c r="E141" s="20" t="n">
        <v>1390</v>
      </c>
      <c r="F141" s="17" t="n">
        <v>14</v>
      </c>
      <c r="G141" s="17" t="n">
        <v>83.2</v>
      </c>
      <c r="H141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1.8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1.2</t>
          </r>
        </is>
      </c>
      <c r="I141" s="17" t="b">
        <v>0</v>
      </c>
      <c r="J141" s="17">
        <f>HYPERLINK("https://doi.org/10.1002/adma.202306568","An (2024)")</f>
        <v/>
      </c>
      <c r="K141" s="17" t="b">
        <v>0</v>
      </c>
      <c r="L141" s="17" t="b">
        <v>0</v>
      </c>
      <c r="M141" s="17" t="b">
        <v>0</v>
      </c>
      <c r="N141" s="17" t="b">
        <v>0</v>
      </c>
    </row>
    <row r="142" ht="15" customFormat="1" customHeight="1" s="17">
      <c r="A142" s="17" t="n"/>
      <c r="B142" s="17" t="inlineStr">
        <is>
          <t>Perovskite</t>
        </is>
      </c>
      <c r="C142" s="22" t="n">
        <v>1.85</v>
      </c>
      <c r="D142" s="19" t="n">
        <v>18.1</v>
      </c>
      <c r="E142" s="20" t="n">
        <v>1360</v>
      </c>
      <c r="F142" s="17" t="n">
        <v>16</v>
      </c>
      <c r="G142" s="17" t="n">
        <v>83.40000000000001</v>
      </c>
      <c r="H142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1.5</t>
          </r>
        </is>
      </c>
      <c r="I142" s="17" t="b">
        <v>0</v>
      </c>
      <c r="J142" s="17">
        <f>HYPERLINK("https://doi.org/10.1002/adma.202306568","An (2024)")</f>
        <v/>
      </c>
      <c r="K142" s="17" t="b">
        <v>0</v>
      </c>
      <c r="L142" s="17" t="b">
        <v>0</v>
      </c>
      <c r="M142" s="17" t="b">
        <v>0</v>
      </c>
      <c r="N142" s="17" t="b">
        <v>0</v>
      </c>
    </row>
    <row r="143" ht="15" customFormat="1" customHeight="1" s="17">
      <c r="A143" s="17" t="n"/>
      <c r="B143" s="17" t="inlineStr">
        <is>
          <t>Perovskite</t>
        </is>
      </c>
      <c r="C143" s="22" t="n">
        <v>1.71</v>
      </c>
      <c r="D143" s="19" t="n">
        <v>21.3</v>
      </c>
      <c r="E143" s="20" t="n">
        <v>1300</v>
      </c>
      <c r="F143" s="17" t="n">
        <v>19.7</v>
      </c>
      <c r="G143" s="17" t="n">
        <v>83.40000000000001</v>
      </c>
      <c r="H143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2.1</t>
          </r>
        </is>
      </c>
      <c r="I143" s="17" t="b">
        <v>0</v>
      </c>
      <c r="J143" s="17">
        <f>HYPERLINK("https://doi.org/10.1002/adma.202306568","An (2024)")</f>
        <v/>
      </c>
      <c r="K143" s="17" t="b">
        <v>0</v>
      </c>
      <c r="L143" s="17" t="b">
        <v>0</v>
      </c>
      <c r="M143" s="17" t="b">
        <v>0</v>
      </c>
      <c r="N143" s="17" t="b">
        <v>0</v>
      </c>
    </row>
    <row r="144" ht="15" customFormat="1" customHeight="1" s="17">
      <c r="A144" s="17" t="n"/>
      <c r="B144" s="17" t="inlineStr">
        <is>
          <t>Perovskite</t>
        </is>
      </c>
      <c r="C144" s="22" t="n">
        <v>1.6</v>
      </c>
      <c r="D144" s="19" t="n">
        <v>23.1</v>
      </c>
      <c r="E144" s="20" t="n">
        <v>1160</v>
      </c>
      <c r="F144" s="17" t="n">
        <v>24.1</v>
      </c>
      <c r="G144" s="17" t="n">
        <v>82.59999999999999</v>
      </c>
      <c r="H144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0.9</t>
          </r>
        </is>
      </c>
      <c r="I144" s="17" t="b">
        <v>0</v>
      </c>
      <c r="J144" s="17">
        <f>HYPERLINK("https://doi.org/10.1002/adma.202306466","Zhu (2024)")</f>
        <v/>
      </c>
      <c r="K144" s="17" t="b">
        <v>0</v>
      </c>
      <c r="L144" s="17" t="b">
        <v>0</v>
      </c>
      <c r="M144" s="17" t="b">
        <v>0</v>
      </c>
      <c r="N144" s="17" t="b">
        <v>0</v>
      </c>
    </row>
    <row r="145" ht="15" customFormat="1" customHeight="1" s="17">
      <c r="A145" s="17" t="n"/>
      <c r="B145" s="17" t="inlineStr">
        <is>
          <t>Perovskite</t>
        </is>
      </c>
      <c r="C145" s="22" t="n">
        <v>1.43</v>
      </c>
      <c r="D145" s="19" t="n">
        <v>15.7</v>
      </c>
      <c r="E145" s="20" t="n">
        <v>974</v>
      </c>
      <c r="F145" s="17" t="n">
        <v>21.7</v>
      </c>
      <c r="G145" s="17" t="n">
        <v>74.3</v>
      </c>
      <c r="H145" s="17" t="inlineStr">
        <is>
          <r>
            <rPr>
              <rFont val="Calibri"/>
              <sz val="11"/>
            </rPr>
            <t>FASnI</t>
          </r>
          <r>
            <rPr>
              <rFont val="Calibri"/>
              <sz val="11"/>
              <vertAlign val="subscript"/>
            </rPr>
            <t>3</t>
          </r>
        </is>
      </c>
      <c r="I145" s="17" t="b">
        <v>0</v>
      </c>
      <c r="J145" s="17">
        <f>HYPERLINK("https://doi.org/10.1021/acsenergylett.4c00529","Shi (2024)")</f>
        <v/>
      </c>
      <c r="K145" s="17" t="b">
        <v>0</v>
      </c>
      <c r="L145" s="17" t="b">
        <v>0</v>
      </c>
      <c r="M145" s="17" t="b">
        <v>0</v>
      </c>
      <c r="N145" s="17" t="b">
        <v>0</v>
      </c>
    </row>
    <row r="146" ht="15" customFormat="1" customHeight="1" s="17">
      <c r="A146" s="17" t="n"/>
      <c r="B146" s="17" t="inlineStr">
        <is>
          <t>Perovskite</t>
        </is>
      </c>
      <c r="C146" s="22" t="n">
        <v>1.78</v>
      </c>
      <c r="D146" s="19" t="n">
        <v>19.8</v>
      </c>
      <c r="E146" s="20" t="n">
        <v>1350</v>
      </c>
      <c r="F146" s="17" t="n">
        <v>17.7</v>
      </c>
      <c r="G146" s="17" t="n">
        <v>83.2</v>
      </c>
      <c r="H146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I146" s="17" t="b">
        <v>0</v>
      </c>
      <c r="J146" s="17">
        <f>HYPERLINK("https://doi.org/10.1039/D3EE02818F","Cui (2023)")</f>
        <v/>
      </c>
      <c r="K146" s="17" t="b">
        <v>0</v>
      </c>
      <c r="L146" s="17" t="b">
        <v>0</v>
      </c>
      <c r="M146" s="17" t="b">
        <v>0</v>
      </c>
      <c r="N146" s="17" t="b">
        <v>0</v>
      </c>
    </row>
    <row r="147" ht="15" customFormat="1" customHeight="1" s="17">
      <c r="A147" s="17" t="n"/>
      <c r="B147" s="17" t="inlineStr">
        <is>
          <t>Perovskite</t>
        </is>
      </c>
      <c r="C147" s="22" t="n">
        <v>1.8</v>
      </c>
      <c r="D147" s="19" t="n">
        <v>19.5</v>
      </c>
      <c r="E147" s="20" t="n">
        <v>1330</v>
      </c>
      <c r="F147" s="17" t="n">
        <v>17.8</v>
      </c>
      <c r="G147" s="17" t="n">
        <v>82.40000000000001</v>
      </c>
      <c r="H147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1.2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1.8</t>
          </r>
        </is>
      </c>
      <c r="I147" s="17" t="b">
        <v>0</v>
      </c>
      <c r="J147" s="17">
        <f>HYPERLINK("https://doi.org/10.1039/D3EE02839A","Yi (2024)")</f>
        <v/>
      </c>
      <c r="K147" s="17" t="b">
        <v>0</v>
      </c>
      <c r="L147" s="17" t="b">
        <v>0</v>
      </c>
      <c r="M147" s="17" t="b">
        <v>0</v>
      </c>
      <c r="N147" s="17" t="b">
        <v>0</v>
      </c>
    </row>
    <row r="148" ht="15" customFormat="1" customHeight="1" s="17">
      <c r="A148" s="17" t="n"/>
      <c r="B148" s="17" t="inlineStr">
        <is>
          <t>Perovskite</t>
        </is>
      </c>
      <c r="C148" s="22" t="n">
        <v>1.93</v>
      </c>
      <c r="D148" s="19" t="n">
        <v>16.6</v>
      </c>
      <c r="E148" s="20" t="n">
        <v>1420</v>
      </c>
      <c r="F148" s="17" t="n">
        <v>14.2</v>
      </c>
      <c r="G148" s="17" t="n">
        <v>82.5</v>
      </c>
      <c r="H148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1.5</t>
          </r>
        </is>
      </c>
      <c r="I148" s="17" t="b">
        <v>0</v>
      </c>
      <c r="J148" s="17">
        <f>HYPERLINK("https://doi.org/10.1038/s41586-024-07226-1","Liu (2024)")</f>
        <v/>
      </c>
      <c r="K148" s="17" t="b">
        <v>0</v>
      </c>
      <c r="L148" s="17" t="b">
        <v>0</v>
      </c>
      <c r="M148" s="17" t="b">
        <v>0</v>
      </c>
      <c r="N148" s="17" t="b">
        <v>0</v>
      </c>
    </row>
    <row r="149" ht="15" customFormat="1" customHeight="1" s="17">
      <c r="A149" s="17" t="n"/>
      <c r="B149" s="17" t="inlineStr">
        <is>
          <t>Perovskite</t>
        </is>
      </c>
      <c r="C149" s="22" t="n">
        <v>1.68</v>
      </c>
      <c r="D149" s="19" t="n">
        <v>22.7</v>
      </c>
      <c r="E149" s="20" t="n">
        <v>1200</v>
      </c>
      <c r="F149" s="17" t="n">
        <v>22.5</v>
      </c>
      <c r="G149" s="17" t="n">
        <v>83.90000000000001</v>
      </c>
      <c r="H149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2.25</t>
          </r>
        </is>
      </c>
      <c r="I149" s="17" t="b">
        <v>1</v>
      </c>
      <c r="J149" s="17">
        <f>HYPERLINK("https://doi.org/10.1038/s41586-024-07712-6","Zhao (2024)")</f>
        <v/>
      </c>
      <c r="K149" s="17" t="b">
        <v>0</v>
      </c>
      <c r="L149" s="17" t="b">
        <v>1</v>
      </c>
      <c r="M149" s="17" t="b">
        <v>0</v>
      </c>
      <c r="N149" s="17" t="b">
        <v>0</v>
      </c>
    </row>
    <row r="150" ht="15" customFormat="1" customHeight="1" s="17">
      <c r="A150" s="17" t="n"/>
      <c r="B150" s="17" t="inlineStr">
        <is>
          <t>Perovskite</t>
        </is>
      </c>
      <c r="C150" s="22" t="n">
        <v>1.27</v>
      </c>
      <c r="D150" s="19" t="n">
        <v>24.2</v>
      </c>
      <c r="E150" s="20" t="n">
        <v>894</v>
      </c>
      <c r="F150" s="17" t="n">
        <v>33.4</v>
      </c>
      <c r="G150" s="17" t="n">
        <v>80.90000000000001</v>
      </c>
      <c r="H150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0.76</t>
          </r>
          <r>
            <rPr>
              <rFont val="Calibri"/>
              <sz val="11"/>
            </rPr>
            <t>Rb</t>
          </r>
          <r>
            <rPr>
              <rFont val="Calibri"/>
              <sz val="11"/>
              <vertAlign val="subscript"/>
            </rPr>
            <t>0.04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150" s="17" t="b">
        <v>0</v>
      </c>
      <c r="J150" s="17">
        <f>HYPERLINK("https://doi.org/10.1038/s41467-024-51361-2","Zhang (2024)")</f>
        <v/>
      </c>
      <c r="K150" s="17" t="b">
        <v>0</v>
      </c>
      <c r="L150" s="17" t="b">
        <v>0</v>
      </c>
      <c r="M150" s="17" t="b">
        <v>0</v>
      </c>
      <c r="N150" s="17" t="b">
        <v>0</v>
      </c>
    </row>
    <row r="151" ht="15" customFormat="1" customHeight="1" s="17">
      <c r="A151" s="17" t="n"/>
      <c r="B151" s="17" t="inlineStr">
        <is>
          <t>Perovskite</t>
        </is>
      </c>
      <c r="C151" s="22" t="n">
        <v>1.24</v>
      </c>
      <c r="D151" s="19" t="n">
        <v>23.5</v>
      </c>
      <c r="E151" s="20" t="n">
        <v>882</v>
      </c>
      <c r="F151" s="17" t="n">
        <v>32.7</v>
      </c>
      <c r="G151" s="17" t="n">
        <v>81.59999999999999</v>
      </c>
      <c r="H151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 xml:space="preserve"> 1.8?M LBG</t>
          </r>
        </is>
      </c>
      <c r="I151" s="17" t="b">
        <v>0</v>
      </c>
      <c r="J151" s="17">
        <f>HYPERLINK("https://doi.org/10.1038/s41467-024-55492-4","Zhu (2025)")</f>
        <v/>
      </c>
      <c r="K151" s="17" t="b">
        <v>0</v>
      </c>
      <c r="L151" s="17" t="b">
        <v>0</v>
      </c>
      <c r="M151" s="17" t="b">
        <v>0</v>
      </c>
      <c r="N151" s="17" t="b">
        <v>0</v>
      </c>
    </row>
    <row r="152" ht="15" customFormat="1" customHeight="1" s="17">
      <c r="A152" s="17" t="n"/>
      <c r="B152" s="17" t="inlineStr">
        <is>
          <t>Perovskite</t>
        </is>
      </c>
      <c r="C152" s="22" t="n">
        <v>1.25</v>
      </c>
      <c r="D152" s="19" t="n">
        <v>23.7</v>
      </c>
      <c r="E152" s="20" t="n">
        <v>887</v>
      </c>
      <c r="F152" s="17" t="n">
        <v>32.8</v>
      </c>
      <c r="G152" s="17" t="n">
        <v>81.5</v>
      </c>
      <c r="H152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152" s="17" t="b">
        <v>0</v>
      </c>
      <c r="J152" s="17">
        <f>HYPERLINK("https://doi.org/10.1038/s41467-025-59891-z","Wang (2025)")</f>
        <v/>
      </c>
      <c r="K152" s="17" t="b">
        <v>0</v>
      </c>
      <c r="L152" s="17" t="b">
        <v>0</v>
      </c>
      <c r="M152" s="17" t="b">
        <v>0</v>
      </c>
      <c r="N152" s="17" t="b">
        <v>0</v>
      </c>
    </row>
    <row r="153" ht="15" customFormat="1" customHeight="1" s="17">
      <c r="A153" s="17" t="n"/>
      <c r="B153" s="17" t="inlineStr">
        <is>
          <t>Perovskite</t>
        </is>
      </c>
      <c r="C153" s="22" t="n">
        <v>1.44</v>
      </c>
      <c r="D153" s="19" t="n">
        <v>24</v>
      </c>
      <c r="E153" s="20" t="n">
        <v>1130</v>
      </c>
      <c r="F153" s="17" t="n">
        <v>28.5</v>
      </c>
      <c r="G153" s="17" t="n">
        <v>74.5</v>
      </c>
      <c r="H153" s="17" t="inlineStr">
        <is>
          <r>
            <rPr>
              <rFont val="Calibri"/>
              <sz val="11"/>
            </rPr>
            <t>PM6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Y7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61</t>
          </r>
          <r>
            <rPr>
              <rFont val="Calibri"/>
              <sz val="11"/>
            </rPr>
            <t>BM</t>
          </r>
          <r>
            <rPr>
              <rFont val="Calibri"/>
              <sz val="11"/>
            </rPr>
            <t>/</t>
          </r>
          <r>
            <rPr>
              <rFont val="Calibri"/>
              <sz val="11"/>
            </rPr>
            <t>MAPbCl</t>
          </r>
          <r>
            <rPr>
              <rFont val="Calibri"/>
              <sz val="11"/>
              <vertAlign val="subscript"/>
            </rPr>
            <t>x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3-x</t>
          </r>
        </is>
      </c>
      <c r="I153" s="17" t="b">
        <v>0</v>
      </c>
      <c r="J153" s="17">
        <f>HYPERLINK("https://doi.org/10.1002/adma.202411015","Lee (2024)")</f>
        <v/>
      </c>
      <c r="K153" s="17" t="b">
        <v>0</v>
      </c>
      <c r="L153" s="17" t="b">
        <v>0</v>
      </c>
      <c r="M153" s="17" t="b">
        <v>0</v>
      </c>
      <c r="N153" s="17" t="b">
        <v>0</v>
      </c>
    </row>
    <row r="154" ht="15" customFormat="1" customHeight="1" s="17">
      <c r="A154" s="17" t="n"/>
      <c r="B154" s="17" t="inlineStr">
        <is>
          <t>Perovskite</t>
        </is>
      </c>
      <c r="C154" s="22" t="n">
        <v>1.5</v>
      </c>
      <c r="D154" s="19" t="n">
        <v>26.3</v>
      </c>
      <c r="E154" s="20" t="n">
        <v>1190</v>
      </c>
      <c r="F154" s="17" t="n">
        <v>26.3</v>
      </c>
      <c r="G154" s="17" t="n">
        <v>84.09999999999999</v>
      </c>
      <c r="H154" s="1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I154" s="17" t="b">
        <v>0</v>
      </c>
      <c r="J154" s="17">
        <f>HYPERLINK("https://doi.org/10.1016/j.joule.2024.10.012","Li (2025)")</f>
        <v/>
      </c>
      <c r="K154" s="17" t="b">
        <v>0</v>
      </c>
      <c r="L154" s="17" t="b">
        <v>0</v>
      </c>
      <c r="M154" s="17" t="b">
        <v>0</v>
      </c>
      <c r="N154" s="17" t="b">
        <v>0</v>
      </c>
    </row>
    <row r="155" ht="15" customFormat="1" customHeight="1" s="17">
      <c r="A155" s="17" t="n"/>
      <c r="B155" s="17" t="inlineStr">
        <is>
          <t>Perovskite</t>
        </is>
      </c>
      <c r="C155" s="22" t="n">
        <v>1.56</v>
      </c>
      <c r="D155" s="19" t="n">
        <v>25.5</v>
      </c>
      <c r="E155" s="20" t="n">
        <v>1210</v>
      </c>
      <c r="F155" s="17" t="n">
        <v>25.5</v>
      </c>
      <c r="G155" s="17" t="n">
        <v>82.5</v>
      </c>
      <c r="H155" s="17" t="inlineStr">
        <is>
          <r>
            <rPr>
              <rFont val="Calibri"/>
              <sz val="11"/>
            </rPr>
            <t xml:space="preserve"> 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0.09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2.91</t>
          </r>
        </is>
      </c>
      <c r="I155" s="17" t="b">
        <v>0</v>
      </c>
      <c r="J155" s="17">
        <f>HYPERLINK("https://doi.org/10.1038/s41467-024-52199-4","Ye (2024)")</f>
        <v/>
      </c>
      <c r="K155" s="17" t="b">
        <v>0</v>
      </c>
      <c r="L155" s="17" t="b">
        <v>0</v>
      </c>
      <c r="M155" s="17" t="b">
        <v>0</v>
      </c>
      <c r="N155" s="17" t="b">
        <v>0</v>
      </c>
    </row>
    <row r="156" ht="15" customFormat="1" customHeight="1" s="17">
      <c r="A156" s="17" t="n"/>
      <c r="B156" s="17" t="inlineStr">
        <is>
          <t>Perovskite</t>
        </is>
      </c>
      <c r="C156" s="22" t="n">
        <v>1.59</v>
      </c>
      <c r="D156" s="19" t="n">
        <v>25.7</v>
      </c>
      <c r="E156" s="20" t="n">
        <v>1180</v>
      </c>
      <c r="F156" s="17" t="n">
        <v>25.9</v>
      </c>
      <c r="G156" s="17" t="n">
        <v>84.59999999999999</v>
      </c>
      <c r="H156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(FA</t>
          </r>
          <r>
            <rPr>
              <rFont val="Calibri"/>
              <sz val="11"/>
              <vertAlign val="subscript"/>
            </rPr>
            <t>0.92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0.08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0.95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0.92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0.08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56" s="17" t="b">
        <v>0</v>
      </c>
      <c r="J156" s="17">
        <f>HYPERLINK("https://doi.org/10.1039/D4EE06199C","Zhang (2025)")</f>
        <v/>
      </c>
      <c r="K156" s="17" t="b">
        <v>0</v>
      </c>
      <c r="L156" s="17" t="b">
        <v>0</v>
      </c>
      <c r="M156" s="17" t="b">
        <v>0</v>
      </c>
      <c r="N156" s="17" t="b">
        <v>0</v>
      </c>
    </row>
    <row r="157" ht="15" customFormat="1" customHeight="1" s="17">
      <c r="A157" s="17" t="n"/>
      <c r="B157" s="17" t="inlineStr">
        <is>
          <t>Perovskite</t>
        </is>
      </c>
      <c r="C157" s="22" t="n">
        <v>1.88</v>
      </c>
      <c r="D157" s="19" t="n">
        <v>19.2</v>
      </c>
      <c r="E157" s="20" t="n">
        <v>1440</v>
      </c>
      <c r="F157" s="17" t="n">
        <v>15.9</v>
      </c>
      <c r="G157" s="19" t="n">
        <v>84</v>
      </c>
      <c r="H157" s="17" t="inlineStr">
        <is>
          <r>
            <rPr>
              <rFont val="Calibri"/>
              <sz val="11"/>
            </rPr>
            <t>CsPbBrI</t>
          </r>
          <r>
            <rPr>
              <rFont val="Calibri"/>
              <sz val="11"/>
              <vertAlign val="subscript"/>
            </rPr>
            <t>2</t>
          </r>
        </is>
      </c>
      <c r="I157" s="17" t="b">
        <v>0</v>
      </c>
      <c r="J157" s="17">
        <f>HYPERLINK("https://doi.org/10.1038/s41560-025-01742-8","Han (2025)")</f>
        <v/>
      </c>
      <c r="K157" s="17" t="b">
        <v>0</v>
      </c>
      <c r="L157" s="17" t="b">
        <v>0</v>
      </c>
      <c r="M157" s="17" t="b">
        <v>0</v>
      </c>
      <c r="N157" s="17" t="b">
        <v>0</v>
      </c>
    </row>
    <row r="158" ht="15" customFormat="1" customHeight="1" s="17">
      <c r="A158" s="17" t="n"/>
      <c r="B158" s="17" t="inlineStr">
        <is>
          <t>Perovskite</t>
        </is>
      </c>
      <c r="C158" s="22" t="n">
        <v>1.79</v>
      </c>
      <c r="D158" s="19" t="n">
        <v>20.8</v>
      </c>
      <c r="E158" s="20" t="n">
        <v>1370</v>
      </c>
      <c r="F158" s="17" t="n">
        <v>18.1</v>
      </c>
      <c r="G158" s="17" t="n">
        <v>83.59999999999999</v>
      </c>
      <c r="H158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58" s="17" t="b">
        <v>0</v>
      </c>
      <c r="J158" s="17">
        <f>HYPERLINK("https://doi.org/10.1039/D4EE04029E","Wei (2025)")</f>
        <v/>
      </c>
      <c r="K158" s="17" t="b">
        <v>0</v>
      </c>
      <c r="L158" s="17" t="b">
        <v>0</v>
      </c>
      <c r="M158" s="17" t="b">
        <v>0</v>
      </c>
      <c r="N158" s="17" t="b">
        <v>0</v>
      </c>
    </row>
    <row r="159" ht="15" customFormat="1" customHeight="1" s="17">
      <c r="A159" s="17" t="n"/>
      <c r="B159" s="17" t="inlineStr">
        <is>
          <t>Perovskite</t>
        </is>
      </c>
      <c r="C159" s="22" t="n">
        <v>1.68</v>
      </c>
      <c r="D159" s="19" t="n">
        <v>22.8</v>
      </c>
      <c r="E159" s="20" t="n">
        <v>1240</v>
      </c>
      <c r="F159" s="17" t="n">
        <v>21.8</v>
      </c>
      <c r="G159" s="17" t="n">
        <v>84.3</v>
      </c>
      <c r="H159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0.15</t>
          </r>
          <r>
            <rPr>
              <rFont val="Calibri"/>
              <sz val="11"/>
            </rPr>
            <t>PbBr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2.25</t>
          </r>
        </is>
      </c>
      <c r="I159" s="17" t="b">
        <v>0</v>
      </c>
      <c r="J159" s="17">
        <f>HYPERLINK("https://doi.org/10.1038/s41467-025-59896-8","Luo (2025)")</f>
        <v/>
      </c>
      <c r="K159" s="17" t="b">
        <v>0</v>
      </c>
      <c r="L159" s="17" t="b">
        <v>1</v>
      </c>
      <c r="M159" s="17" t="b">
        <v>0</v>
      </c>
      <c r="N159" s="17" t="b">
        <v>0</v>
      </c>
    </row>
    <row r="160" ht="15" customFormat="1" customHeight="1" s="17">
      <c r="A160" s="17" t="n"/>
      <c r="B160" s="17" t="inlineStr">
        <is>
          <t>Perovskite</t>
        </is>
      </c>
      <c r="C160" s="22" t="n">
        <v>1.72</v>
      </c>
      <c r="D160" s="19" t="n">
        <v>21.9</v>
      </c>
      <c r="E160" s="20" t="n">
        <v>1260</v>
      </c>
      <c r="F160" s="17" t="n">
        <v>21</v>
      </c>
      <c r="G160" s="17" t="n">
        <v>82.59999999999999</v>
      </c>
      <c r="H160" s="17" t="inlineStr">
        <is>
          <r>
            <rPr>
              <rFont val="Calibri"/>
              <sz val="11"/>
            </rPr>
            <t>CsPbI</t>
          </r>
          <r>
            <rPr>
              <rFont val="Calibri"/>
              <sz val="11"/>
              <vertAlign val="subscript"/>
            </rPr>
            <t>3</t>
          </r>
        </is>
      </c>
      <c r="I160" s="17" t="b">
        <v>0</v>
      </c>
      <c r="J160" s="17">
        <f>HYPERLINK("https://doi.org/10.1039/D4EE04051A","Yang (2025)")</f>
        <v/>
      </c>
      <c r="K160" s="17" t="b">
        <v>0</v>
      </c>
      <c r="L160" s="17" t="b">
        <v>0</v>
      </c>
      <c r="M160" s="17" t="b">
        <v>0</v>
      </c>
      <c r="N160" s="17" t="b">
        <v>0</v>
      </c>
    </row>
    <row r="161" ht="15" customFormat="1" customHeight="1" s="17">
      <c r="A161" s="17" t="n"/>
      <c r="B161" s="17" t="inlineStr">
        <is>
          <t>Perovskite</t>
        </is>
      </c>
      <c r="C161" s="22" t="n">
        <v>1.77</v>
      </c>
      <c r="D161" s="19" t="n">
        <v>20.7</v>
      </c>
      <c r="E161" s="20" t="n">
        <v>1330</v>
      </c>
      <c r="F161" s="17" t="n">
        <v>18.3</v>
      </c>
      <c r="G161" s="17" t="n">
        <v>84.8</v>
      </c>
      <c r="H161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</t>
          </r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61" s="17" t="b">
        <v>0</v>
      </c>
      <c r="J161" s="17">
        <f>HYPERLINK("https://doi.org/10.1038/s41467-025-58111-y","Shi (2025)")</f>
        <v/>
      </c>
      <c r="K161" s="17" t="b">
        <v>0</v>
      </c>
      <c r="L161" s="17" t="b">
        <v>0</v>
      </c>
      <c r="M161" s="17" t="b">
        <v>0</v>
      </c>
      <c r="N161" s="17" t="b">
        <v>0</v>
      </c>
    </row>
    <row r="162" ht="15" customFormat="1" customHeight="1" s="17">
      <c r="A162" s="17" t="n"/>
      <c r="B162" s="17" t="inlineStr">
        <is>
          <t>Perovskite</t>
        </is>
      </c>
      <c r="C162" s="22" t="n">
        <v>1.85</v>
      </c>
      <c r="D162" s="19" t="n"/>
      <c r="E162" s="20" t="n">
        <v>1390</v>
      </c>
      <c r="F162" s="17" t="n">
        <v>16.1</v>
      </c>
      <c r="G162" s="17" t="n">
        <v>84.2</v>
      </c>
      <c r="H162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0.25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0.75</t>
          </r>
          <r>
            <rPr>
              <rFont val="Calibri"/>
              <sz val="11"/>
            </rPr>
            <t>Pb(Br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62" s="17" t="b">
        <v>0</v>
      </c>
      <c r="J162" s="17">
        <f>HYPERLINK("https://doi.org/10.1039/D5EE00264H","Song (2025)")</f>
        <v/>
      </c>
      <c r="K162" s="17" t="b">
        <v>0</v>
      </c>
      <c r="L162" s="17" t="b">
        <v>0</v>
      </c>
      <c r="M162" s="17" t="b">
        <v>0</v>
      </c>
      <c r="N162" s="17" t="b">
        <v>0</v>
      </c>
    </row>
    <row r="163" ht="15" customFormat="1" customHeight="1" s="17">
      <c r="A163" s="17" t="n"/>
      <c r="B163" s="17" t="inlineStr">
        <is>
          <t>Perovskite</t>
        </is>
      </c>
      <c r="C163" s="22" t="n">
        <v>1.26</v>
      </c>
      <c r="D163" s="19" t="n">
        <v>23.9</v>
      </c>
      <c r="E163" s="20" t="n">
        <v>900</v>
      </c>
      <c r="F163" s="17" t="n">
        <v>33.1</v>
      </c>
      <c r="G163" s="17" t="n">
        <v>80.3</v>
      </c>
      <c r="H163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163" s="17" t="b">
        <v>0</v>
      </c>
      <c r="J163" s="17">
        <f>HYPERLINK("https://doi.org/10.1038/s41586-024-08546-y","Hu (2025)")</f>
        <v/>
      </c>
      <c r="K163" s="17" t="b">
        <v>0</v>
      </c>
      <c r="L163" s="17" t="b">
        <v>1</v>
      </c>
      <c r="M163" s="17" t="b">
        <v>0</v>
      </c>
      <c r="N163" s="17" t="b">
        <v>0</v>
      </c>
    </row>
    <row r="164" ht="15" customFormat="1" customHeight="1" s="17">
      <c r="A164" s="17" t="n"/>
      <c r="B164" s="17" t="inlineStr">
        <is>
          <t>Perovskite</t>
        </is>
      </c>
      <c r="C164" s="22" t="n">
        <v>1.54</v>
      </c>
      <c r="D164" s="19" t="n">
        <v>27.3</v>
      </c>
      <c r="E164" s="20" t="n">
        <v>1200</v>
      </c>
      <c r="F164" s="17" t="n">
        <v>26.3</v>
      </c>
      <c r="G164" s="17" t="n">
        <v>86.40000000000001</v>
      </c>
      <c r="H164" s="17" t="inlineStr">
        <is>
          <t>N.A.</t>
        </is>
      </c>
      <c r="I164" s="17" t="b">
        <v>1</v>
      </c>
      <c r="J164" s="17">
        <f>HYPERLINK("https://doi.org/10.1002/pip.3919","Green (2025)")</f>
        <v/>
      </c>
      <c r="K164" s="17" t="b">
        <v>1</v>
      </c>
      <c r="L164" s="17" t="b">
        <v>0</v>
      </c>
      <c r="M164" s="17" t="b">
        <v>0</v>
      </c>
      <c r="N164" s="17" t="b">
        <v>0</v>
      </c>
    </row>
    <row r="165" ht="15" customFormat="1" customHeight="1" s="17">
      <c r="A165" s="17" t="n"/>
      <c r="B165" s="17" t="inlineStr">
        <is>
          <t>Perovskite</t>
        </is>
      </c>
      <c r="C165" s="22" t="n">
        <v>1.26</v>
      </c>
      <c r="D165" s="19" t="n">
        <v>23.82</v>
      </c>
      <c r="E165" s="20" t="n">
        <v>881</v>
      </c>
      <c r="F165" s="17" t="n">
        <v>33.04</v>
      </c>
      <c r="G165" s="17" t="n">
        <v>81.81999999999999</v>
      </c>
      <c r="H165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0.6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0.3</t>
          </r>
          <r>
            <rPr>
              <rFont val="Calibri"/>
              <sz val="11"/>
            </rPr>
            <t>Pb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Sn</t>
          </r>
          <r>
            <rPr>
              <rFont val="Calibri"/>
              <sz val="11"/>
              <vertAlign val="subscript"/>
            </rPr>
            <t>0.5</t>
          </r>
          <r>
            <rPr>
              <rFont val="Calibri"/>
              <sz val="11"/>
            </rPr>
            <t>I</t>
          </r>
          <r>
            <rPr>
              <rFont val="Calibri"/>
              <sz val="11"/>
              <vertAlign val="subscript"/>
            </rPr>
            <t>3</t>
          </r>
        </is>
      </c>
      <c r="I165" s="17" t="b">
        <v>1</v>
      </c>
      <c r="J165" s="17">
        <f>HYPERLINK("https://doi.org/10.1038/s41467-026-71017-7","Ma (2026)")</f>
        <v/>
      </c>
      <c r="K165" s="17" t="b">
        <v>0</v>
      </c>
      <c r="L165" s="17" t="b">
        <v>0</v>
      </c>
      <c r="M165" s="17" t="b">
        <v>0</v>
      </c>
      <c r="N165" s="17" t="b">
        <v>0</v>
      </c>
    </row>
    <row r="166" ht="15" customFormat="1" customHeight="1" s="17">
      <c r="A166" s="17" t="n"/>
      <c r="B166" s="17" t="inlineStr">
        <is>
          <t>Perovskite</t>
        </is>
      </c>
      <c r="C166" s="22" t="n">
        <v>1.53</v>
      </c>
      <c r="D166" s="19" t="n">
        <v>26.86</v>
      </c>
      <c r="E166" s="20" t="n">
        <v>1193</v>
      </c>
      <c r="F166" s="17" t="n">
        <v>26.53</v>
      </c>
      <c r="G166" s="17" t="n">
        <v>84.86</v>
      </c>
      <c r="H166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0.85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166" s="17" t="b">
        <v>1</v>
      </c>
      <c r="J166" s="17">
        <f>HYPERLINK("https://doi.org/10.1038/s41467-026-76497-1","Pan (2026)")</f>
        <v/>
      </c>
      <c r="K166" s="17" t="b">
        <v>0</v>
      </c>
      <c r="L166" s="17" t="b">
        <v>0</v>
      </c>
      <c r="M166" s="17" t="b">
        <v>0</v>
      </c>
      <c r="N166" s="17" t="b">
        <v>0</v>
      </c>
    </row>
    <row r="167" ht="15" customFormat="1" customHeight="1" s="17">
      <c r="A167" s="17" t="n"/>
      <c r="B167" s="17" t="inlineStr">
        <is>
          <t>Perovskite</t>
        </is>
      </c>
      <c r="C167" s="22" t="n">
        <v>1.57</v>
      </c>
      <c r="D167" s="19" t="n">
        <v>26.4</v>
      </c>
      <c r="E167" s="20" t="n">
        <v>1202</v>
      </c>
      <c r="F167" s="17" t="n">
        <v>25.89</v>
      </c>
      <c r="G167" s="17" t="n">
        <v>84.83</v>
      </c>
      <c r="H167" s="17" t="inlineStr">
        <is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0.98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0.98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0.02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67" s="17" t="b">
        <v>1</v>
      </c>
      <c r="J167" s="17">
        <f>HYPERLINK("https://doi.org/10.1038/s41467-026-75161-y","Yang (2026)")</f>
        <v/>
      </c>
      <c r="K167" s="17" t="b">
        <v>0</v>
      </c>
      <c r="L167" s="17" t="b">
        <v>0</v>
      </c>
      <c r="M167" s="17" t="b">
        <v>0</v>
      </c>
      <c r="N167" s="17" t="b">
        <v>0</v>
      </c>
    </row>
    <row r="168" ht="15" customFormat="1" customHeight="1" s="17">
      <c r="A168" s="17" t="n"/>
      <c r="B168" s="17" t="inlineStr">
        <is>
          <t>Perovskite</t>
        </is>
      </c>
      <c r="C168" s="22" t="n">
        <v>1.53</v>
      </c>
      <c r="D168" s="19" t="n">
        <v>25.53</v>
      </c>
      <c r="E168" s="20" t="n">
        <v>1180</v>
      </c>
      <c r="F168" s="17" t="n">
        <v>26.26</v>
      </c>
      <c r="G168" s="17" t="n">
        <v>82.26000000000001</v>
      </c>
      <c r="H168" s="17" t="inlineStr">
        <is>
          <r>
            <rPr>
              <rFont val="Calibri"/>
              <sz val="11"/>
            </rPr>
            <t>FAPbI</t>
          </r>
          <r>
            <rPr>
              <rFont val="Calibri"/>
              <sz val="11"/>
              <vertAlign val="subscript"/>
            </rPr>
            <t>3</t>
          </r>
        </is>
      </c>
      <c r="I168" s="17" t="b">
        <v>1</v>
      </c>
      <c r="J168" s="21">
        <f>HYPERLINK("https://doi.org/10.1038/s41560-026-02093-8","Xu (2026)")</f>
        <v/>
      </c>
      <c r="K168" s="17" t="b">
        <v>0</v>
      </c>
      <c r="L168" s="17" t="b">
        <v>0</v>
      </c>
      <c r="M168" s="17" t="b">
        <v>0</v>
      </c>
      <c r="N168" s="17" t="b">
        <v>0</v>
      </c>
    </row>
    <row r="169" ht="15" customFormat="1" customHeight="1" s="17">
      <c r="A169" s="17" t="n"/>
      <c r="B169" s="17" t="inlineStr">
        <is>
          <t>Perovskite</t>
        </is>
      </c>
      <c r="C169" s="17" t="n">
        <v>1.53</v>
      </c>
      <c r="D169" s="19" t="n">
        <v>26.63</v>
      </c>
      <c r="E169" s="20" t="n">
        <v>1179</v>
      </c>
      <c r="F169" s="19" t="n">
        <v>26.27</v>
      </c>
      <c r="G169" s="19" t="n">
        <v>85.94</v>
      </c>
      <c r="H169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0.03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0.97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169" s="17" t="b">
        <v>1</v>
      </c>
      <c r="J169" s="21">
        <f>HYPERLINK("https://doi.org/10.1038/s44160-026-01089-2","Qu (2026)")</f>
        <v/>
      </c>
      <c r="K169" s="17" t="b">
        <v>0</v>
      </c>
      <c r="L169" s="17" t="b">
        <v>0</v>
      </c>
      <c r="M169" s="17" t="b">
        <v>0</v>
      </c>
      <c r="N169" s="17" t="b">
        <v>0</v>
      </c>
    </row>
    <row r="170" ht="15" customFormat="1" customHeight="1" s="17">
      <c r="A170" s="17" t="n"/>
      <c r="B170" s="17" t="inlineStr">
        <is>
          <t>Perovskite</t>
        </is>
      </c>
      <c r="C170" s="22" t="n">
        <v>1.68</v>
      </c>
      <c r="D170" s="19" t="n">
        <v>24.12</v>
      </c>
      <c r="E170" s="20" t="n">
        <v>1290</v>
      </c>
      <c r="F170" s="19" t="n">
        <v>22.1</v>
      </c>
      <c r="G170" s="19" t="n">
        <v>84.8</v>
      </c>
      <c r="H170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0.16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0.79</t>
          </r>
          <r>
            <rPr>
              <rFont val="Calibri"/>
              <sz val="11"/>
            </rPr>
            <t>Pb(I</t>
          </r>
          <r>
            <rPr>
              <rFont val="Calibri"/>
              <sz val="11"/>
              <vertAlign val="subscript"/>
            </rPr>
            <t>0.76</t>
          </r>
          <r>
            <rPr>
              <rFont val="Calibri"/>
              <sz val="11"/>
            </rPr>
            <t>Br</t>
          </r>
          <r>
            <rPr>
              <rFont val="Calibri"/>
              <sz val="11"/>
              <vertAlign val="subscript"/>
            </rPr>
            <t>0.24</t>
          </r>
          <r>
            <rPr>
              <rFont val="Calibri"/>
              <sz val="11"/>
            </rPr>
            <t>)</t>
          </r>
          <r>
            <rPr>
              <rFont val="Calibri"/>
              <sz val="11"/>
              <vertAlign val="subscript"/>
            </rPr>
            <t>3</t>
          </r>
        </is>
      </c>
      <c r="I170" s="17" t="b">
        <v>0</v>
      </c>
      <c r="J170" s="21">
        <f>HYPERLINK("https://doi.org/10.1038/s44160-026-01111-7","Ma (2026)")</f>
        <v/>
      </c>
      <c r="K170" s="17" t="b">
        <v>0</v>
      </c>
      <c r="L170" s="17" t="b">
        <v>0</v>
      </c>
      <c r="M170" s="17" t="b">
        <v>0</v>
      </c>
      <c r="N170" s="17" t="b">
        <v>0</v>
      </c>
    </row>
    <row r="171" ht="15" customFormat="1" customHeight="1" s="17">
      <c r="A171" s="17" t="n"/>
      <c r="B171" s="17" t="inlineStr">
        <is>
          <t>Perovskite</t>
        </is>
      </c>
      <c r="C171" s="22" t="n">
        <v>1.53</v>
      </c>
      <c r="D171" s="19" t="n">
        <v>26.32</v>
      </c>
      <c r="E171" s="20" t="n">
        <v>1192</v>
      </c>
      <c r="F171" s="19" t="n">
        <v>26.15</v>
      </c>
      <c r="G171" s="19" t="n">
        <v>84.44</v>
      </c>
      <c r="H171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171" s="17" t="b">
        <v>0</v>
      </c>
      <c r="J171" s="21">
        <f>HYPERLINK("https://doi.org/10.1038/s41467-026-76425-3","Ma (2026)")</f>
        <v/>
      </c>
      <c r="K171" s="17" t="b">
        <v>0</v>
      </c>
      <c r="L171" s="17" t="b">
        <v>0</v>
      </c>
      <c r="M171" s="17" t="b">
        <v>0</v>
      </c>
      <c r="N171" s="17" t="b">
        <v>0</v>
      </c>
    </row>
    <row r="172" ht="15" customFormat="1" customHeight="1" s="17">
      <c r="A172" s="17" t="n"/>
      <c r="B172" s="17" t="inlineStr">
        <is>
          <t>Perovskite</t>
        </is>
      </c>
      <c r="C172" s="22" t="n">
        <v>1.54</v>
      </c>
      <c r="D172" s="19" t="n">
        <v>26.59</v>
      </c>
      <c r="E172" s="20" t="n">
        <v>1195</v>
      </c>
      <c r="F172" s="19" t="n">
        <v>26.2</v>
      </c>
      <c r="G172" s="19" t="n">
        <v>84.92</v>
      </c>
      <c r="H172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172" s="17" t="b">
        <v>0</v>
      </c>
      <c r="J172" s="21">
        <f>HYPERLINK("https://doi.org/10.1038/s41467-026-76786-9","Xie (2026)")</f>
        <v/>
      </c>
      <c r="K172" s="17" t="b">
        <v>0</v>
      </c>
      <c r="L172" s="17" t="b">
        <v>0</v>
      </c>
      <c r="M172" s="17" t="b">
        <v>0</v>
      </c>
      <c r="N172" s="17" t="b">
        <v>0</v>
      </c>
    </row>
    <row r="173" ht="15" customFormat="1" customHeight="1" s="17">
      <c r="A173" s="17" t="n"/>
      <c r="B173" s="17" t="inlineStr">
        <is>
          <t>Perovskite</t>
        </is>
      </c>
      <c r="C173" s="22" t="n">
        <v>1.54</v>
      </c>
      <c r="D173" s="19" t="n">
        <v>26.81</v>
      </c>
      <c r="E173" s="20" t="n">
        <v>1200</v>
      </c>
      <c r="F173" s="19" t="n">
        <v>26.75</v>
      </c>
      <c r="G173" s="19" t="n">
        <v>83.3</v>
      </c>
      <c r="H173" s="17" t="inlineStr">
        <is>
          <r>
            <rPr>
              <rFont val="Calibri"/>
              <sz val="11"/>
            </rPr>
            <t>Cs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FA</t>
          </r>
          <r>
            <rPr>
              <rFont val="Calibri"/>
              <sz val="11"/>
              <vertAlign val="subscript"/>
            </rPr>
            <t>0.9</t>
          </r>
          <r>
            <rPr>
              <rFont val="Calibri"/>
              <sz val="11"/>
            </rPr>
            <t>MA</t>
          </r>
          <r>
            <rPr>
              <rFont val="Calibri"/>
              <sz val="11"/>
              <vertAlign val="subscript"/>
            </rPr>
            <t>0.05</t>
          </r>
          <r>
            <rPr>
              <rFont val="Calibri"/>
              <sz val="11"/>
            </rPr>
            <t>PbI</t>
          </r>
          <r>
            <rPr>
              <rFont val="Calibri"/>
              <sz val="11"/>
              <vertAlign val="subscript"/>
            </rPr>
            <t>3</t>
          </r>
        </is>
      </c>
      <c r="I173" s="17" t="b">
        <v>1</v>
      </c>
      <c r="J173" s="21">
        <f>HYPERLINK("https://doi.org/10.1038/s41586-026-10919-4","Wu (2026)")</f>
        <v/>
      </c>
      <c r="K173" s="17" t="b">
        <v>0</v>
      </c>
      <c r="L173" s="17" t="b">
        <v>0</v>
      </c>
      <c r="M173" s="17" t="b">
        <v>0</v>
      </c>
      <c r="N173" s="17" t="b">
        <v>0</v>
      </c>
    </row>
    <row r="174" ht="15" customFormat="1" customHeight="1" s="17">
      <c r="A174" s="17" t="n"/>
      <c r="B174" s="17" t="inlineStr">
        <is>
          <t>Organic</t>
        </is>
      </c>
      <c r="C174" s="22" t="n">
        <v>1.33</v>
      </c>
      <c r="D174" s="19" t="n">
        <v>13.9</v>
      </c>
      <c r="E174" s="20" t="n">
        <v>865</v>
      </c>
      <c r="F174" s="17" t="n">
        <v>22.4</v>
      </c>
      <c r="G174" s="17" t="n">
        <v>71.40000000000001</v>
      </c>
      <c r="H174" s="17" t="inlineStr">
        <is>
          <t>BTR:MeIC:Y11</t>
        </is>
      </c>
      <c r="I174" s="17" t="b">
        <v>0</v>
      </c>
      <c r="J174" s="17">
        <f>HYPERLINK("https://doi.org/10.1016/j.solener.2020.11.043","Liu (2021)")</f>
        <v/>
      </c>
      <c r="K174" s="17" t="b">
        <v>0</v>
      </c>
      <c r="L174" s="17" t="b">
        <v>0</v>
      </c>
      <c r="M174" s="17" t="b">
        <v>0</v>
      </c>
      <c r="N174" s="17" t="b">
        <v>0</v>
      </c>
    </row>
    <row r="175" ht="15" customFormat="1" customHeight="1" s="17">
      <c r="A175" s="17" t="n"/>
      <c r="B175" s="17" t="inlineStr">
        <is>
          <t>Organic</t>
        </is>
      </c>
      <c r="C175" s="22" t="n">
        <v>1.34</v>
      </c>
      <c r="D175" s="19" t="n">
        <v>12.8</v>
      </c>
      <c r="E175" s="20" t="n">
        <v>712</v>
      </c>
      <c r="F175" s="17" t="n">
        <v>27.3</v>
      </c>
      <c r="G175" s="17" t="n">
        <v>65.90000000000001</v>
      </c>
      <c r="H175" s="17" t="inlineStr">
        <is>
          <t>PTB7-Th:IEICO-4F</t>
        </is>
      </c>
      <c r="I175" s="17" t="b">
        <v>0</v>
      </c>
      <c r="J175" s="17">
        <f>HYPERLINK("https://doi.org/10.1021/acsenergylett.7b01266","Song (2018)")</f>
        <v/>
      </c>
      <c r="K175" s="17" t="b">
        <v>0</v>
      </c>
      <c r="L175" s="17" t="b">
        <v>0</v>
      </c>
      <c r="M175" s="17" t="b">
        <v>0</v>
      </c>
      <c r="N175" s="17" t="b">
        <v>0</v>
      </c>
    </row>
    <row r="176" ht="15" customFormat="1" customHeight="1" s="17">
      <c r="A176" s="17" t="n"/>
      <c r="B176" s="17" t="inlineStr">
        <is>
          <t>Organic</t>
        </is>
      </c>
      <c r="C176" s="22" t="n">
        <v>1.51</v>
      </c>
      <c r="D176" s="19" t="n">
        <v>13.3</v>
      </c>
      <c r="E176" s="20" t="n">
        <v>780</v>
      </c>
      <c r="F176" s="17" t="n">
        <v>22.9</v>
      </c>
      <c r="G176" s="17" t="n">
        <v>74.5</v>
      </c>
      <c r="H176" s="17" t="inlineStr">
        <is>
          <r>
            <rPr>
              <rFont val="Calibri"/>
              <sz val="11"/>
            </rPr>
            <t>PM6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SeTlC</t>
          </r>
          <r>
            <rPr>
              <rFont val="Calibri"/>
              <sz val="11"/>
              <vertAlign val="subscript"/>
            </rPr>
            <t>4</t>
          </r>
          <r>
            <rPr>
              <rFont val="Calibri"/>
              <sz val="11"/>
            </rPr>
            <t>Cl-DIO</t>
          </r>
        </is>
      </c>
      <c r="I176" s="17" t="b">
        <v>0</v>
      </c>
      <c r="J176" s="17">
        <f>HYPERLINK("https://doi.org/10.1021/acsenergylett.8b01808","Wang (2018)")</f>
        <v/>
      </c>
      <c r="K176" s="17" t="b">
        <v>0</v>
      </c>
      <c r="L176" s="17" t="b">
        <v>0</v>
      </c>
      <c r="M176" s="17" t="b">
        <v>0</v>
      </c>
      <c r="N176" s="17" t="b">
        <v>0</v>
      </c>
    </row>
    <row r="177" ht="15" customFormat="1" customHeight="1" s="17">
      <c r="A177" s="17" t="n"/>
      <c r="B177" s="17" t="inlineStr">
        <is>
          <t>Organic</t>
        </is>
      </c>
      <c r="C177" s="22" t="n">
        <v>1.52</v>
      </c>
      <c r="D177" s="19" t="n">
        <v>10.4</v>
      </c>
      <c r="E177" s="20" t="n">
        <v>850</v>
      </c>
      <c r="F177" s="17" t="n">
        <v>18</v>
      </c>
      <c r="G177" s="17" t="n">
        <v>68</v>
      </c>
      <c r="H177" s="17" t="inlineStr">
        <is>
          <r>
            <rPr>
              <rFont val="Calibri"/>
              <sz val="11"/>
            </rPr>
            <t>PBDB-T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IDT-EDOT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I177" s="17" t="b">
        <v>0</v>
      </c>
      <c r="J177" s="17">
        <f>HYPERLINK("https://doi.org/10.1039/C9TA12029G","Zhang (2020)")</f>
        <v/>
      </c>
      <c r="K177" s="17" t="b">
        <v>0</v>
      </c>
      <c r="L177" s="17" t="b">
        <v>0</v>
      </c>
      <c r="M177" s="17" t="b">
        <v>0</v>
      </c>
      <c r="N177" s="17" t="b">
        <v>0</v>
      </c>
    </row>
    <row r="178" ht="15" customFormat="1" customHeight="1" s="17">
      <c r="A178" s="17" t="n"/>
      <c r="B178" s="17" t="inlineStr">
        <is>
          <t>Organic</t>
        </is>
      </c>
      <c r="C178" s="22" t="n">
        <v>1.53</v>
      </c>
      <c r="D178" s="19" t="n">
        <v>10.7</v>
      </c>
      <c r="E178" s="20" t="n">
        <v>850</v>
      </c>
      <c r="F178" s="17" t="n">
        <v>22.2</v>
      </c>
      <c r="G178" s="17" t="n">
        <v>56.7</v>
      </c>
      <c r="H178" s="17" t="inlineStr">
        <is>
          <t>PM6:SeTlC4Cl</t>
        </is>
      </c>
      <c r="I178" s="17" t="b">
        <v>0</v>
      </c>
      <c r="J178" s="17">
        <f>HYPERLINK("https://doi.org/10.1021/acsenergylett.8b01808","Wang (2018)")</f>
        <v/>
      </c>
      <c r="K178" s="17" t="b">
        <v>0</v>
      </c>
      <c r="L178" s="17" t="b">
        <v>0</v>
      </c>
      <c r="M178" s="17" t="b">
        <v>0</v>
      </c>
      <c r="N178" s="17" t="b">
        <v>0</v>
      </c>
    </row>
    <row r="179" ht="15" customFormat="1" customHeight="1" s="17">
      <c r="A179" s="17" t="n"/>
      <c r="B179" s="17" t="inlineStr">
        <is>
          <t>Organic</t>
        </is>
      </c>
      <c r="C179" s="22" t="n">
        <v>1.54</v>
      </c>
      <c r="D179" s="19" t="n">
        <v>13.6</v>
      </c>
      <c r="E179" s="20" t="n">
        <v>940</v>
      </c>
      <c r="F179" s="17" t="n">
        <v>19.5</v>
      </c>
      <c r="G179" s="17" t="n">
        <v>74.2</v>
      </c>
      <c r="H179" s="17" t="inlineStr">
        <is>
          <r>
            <rPr>
              <rFont val="Calibri"/>
              <sz val="11"/>
            </rPr>
            <t>BTR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NITI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I179" s="17" t="b">
        <v>0</v>
      </c>
      <c r="J179" s="17">
        <f>HYPERLINK("https://doi.org/10.1038/s41560-018-0234-9","Zhou (2018)")</f>
        <v/>
      </c>
      <c r="K179" s="17" t="b">
        <v>0</v>
      </c>
      <c r="L179" s="17" t="b">
        <v>0</v>
      </c>
      <c r="M179" s="17" t="b">
        <v>0</v>
      </c>
      <c r="N179" s="17" t="b">
        <v>0</v>
      </c>
    </row>
    <row r="180" ht="15" customFormat="1" customHeight="1" s="17">
      <c r="A180" s="17" t="n"/>
      <c r="B180" s="17" t="inlineStr">
        <is>
          <t>Organic</t>
        </is>
      </c>
      <c r="C180" s="22" t="n">
        <v>1.55</v>
      </c>
      <c r="D180" s="19" t="n">
        <v>12</v>
      </c>
      <c r="E180" s="20" t="n">
        <v>840</v>
      </c>
      <c r="F180" s="17" t="n">
        <v>19.5</v>
      </c>
      <c r="G180" s="17" t="n">
        <v>73.3</v>
      </c>
      <c r="H180" s="17" t="inlineStr">
        <is>
          <t>PM6:IT-4F</t>
        </is>
      </c>
      <c r="I180" s="17" t="b">
        <v>0</v>
      </c>
      <c r="J180" s="17">
        <f>HYPERLINK("https://doi.org/10.1021/acsnano.9b00970","Zhang (2019)")</f>
        <v/>
      </c>
      <c r="K180" s="17" t="b">
        <v>0</v>
      </c>
      <c r="L180" s="17" t="b">
        <v>0</v>
      </c>
      <c r="M180" s="17" t="b">
        <v>0</v>
      </c>
      <c r="N180" s="17" t="b">
        <v>0</v>
      </c>
    </row>
    <row r="181" ht="15" customFormat="1" customHeight="1" s="17">
      <c r="A181" s="17" t="n"/>
      <c r="B181" s="17" t="inlineStr">
        <is>
          <t>Organic</t>
        </is>
      </c>
      <c r="C181" s="22" t="n">
        <v>1.56</v>
      </c>
      <c r="D181" s="19" t="n">
        <v>12.1</v>
      </c>
      <c r="E181" s="20" t="n">
        <v>826</v>
      </c>
      <c r="F181" s="17" t="n">
        <v>20.9</v>
      </c>
      <c r="G181" s="17" t="n">
        <v>70.09999999999999</v>
      </c>
      <c r="H181" s="17" t="inlineStr">
        <is>
          <t>PBDB-T-2F:IT-4F</t>
        </is>
      </c>
      <c r="I181" s="17" t="b">
        <v>0</v>
      </c>
      <c r="J181" s="17">
        <f>HYPERLINK("https://doi.org/10.1007/s11426-018-9430-8","Zeng (2019)")</f>
        <v/>
      </c>
      <c r="K181" s="17" t="b">
        <v>0</v>
      </c>
      <c r="L181" s="17" t="b">
        <v>0</v>
      </c>
      <c r="M181" s="17" t="b">
        <v>0</v>
      </c>
      <c r="N181" s="17" t="b">
        <v>0</v>
      </c>
    </row>
    <row r="182" ht="15" customFormat="1" customHeight="1" s="17">
      <c r="A182" s="17" t="n"/>
      <c r="B182" s="17" t="inlineStr">
        <is>
          <t>Organic</t>
        </is>
      </c>
      <c r="C182" s="22" t="n">
        <v>1.58</v>
      </c>
      <c r="D182" s="19" t="n">
        <v>13.9</v>
      </c>
      <c r="E182" s="20" t="n">
        <v>950</v>
      </c>
      <c r="F182" s="17" t="n">
        <v>21.7</v>
      </c>
      <c r="G182" s="17" t="n">
        <v>67.40000000000001</v>
      </c>
      <c r="H182" s="17" t="inlineStr">
        <is>
          <t>PM6:DTTC-4F</t>
        </is>
      </c>
      <c r="I182" s="17" t="b">
        <v>0</v>
      </c>
      <c r="J182" s="17">
        <f>HYPERLINK("https://doi.org/10.1039/C9TA12605H","Chen (2020)")</f>
        <v/>
      </c>
      <c r="K182" s="17" t="b">
        <v>0</v>
      </c>
      <c r="L182" s="17" t="b">
        <v>0</v>
      </c>
      <c r="M182" s="17" t="b">
        <v>0</v>
      </c>
      <c r="N182" s="17" t="b">
        <v>0</v>
      </c>
    </row>
    <row r="183" ht="15" customFormat="1" customHeight="1" s="17">
      <c r="A183" s="17" t="n"/>
      <c r="B183" s="17" t="inlineStr">
        <is>
          <t>Organic</t>
        </is>
      </c>
      <c r="C183" s="22" t="n">
        <v>1.58</v>
      </c>
      <c r="D183" s="19" t="n">
        <v>13.5</v>
      </c>
      <c r="E183" s="20" t="n">
        <v>880</v>
      </c>
      <c r="F183" s="17" t="n">
        <v>20.6</v>
      </c>
      <c r="G183" s="17" t="n">
        <v>74.5</v>
      </c>
      <c r="H183" s="17" t="inlineStr">
        <is>
          <t>PBDB-T-SF:IT-4F</t>
        </is>
      </c>
      <c r="I183" s="17" t="b">
        <v>0</v>
      </c>
      <c r="J183" s="17">
        <f>HYPERLINK("https://doi.org/10.1002/adma.201902965","Lin (2019)")</f>
        <v/>
      </c>
      <c r="K183" s="17" t="b">
        <v>0</v>
      </c>
      <c r="L183" s="17" t="b">
        <v>0</v>
      </c>
      <c r="M183" s="17" t="b">
        <v>0</v>
      </c>
      <c r="N183" s="17" t="b">
        <v>0</v>
      </c>
    </row>
    <row r="184" ht="15" customFormat="1" customHeight="1" s="17">
      <c r="A184" s="17" t="n"/>
      <c r="B184" s="17" t="inlineStr">
        <is>
          <t>Organic</t>
        </is>
      </c>
      <c r="C184" s="22" t="n">
        <v>1.61</v>
      </c>
      <c r="D184" s="19" t="n">
        <v>13.4</v>
      </c>
      <c r="E184" s="20" t="n">
        <v>940</v>
      </c>
      <c r="F184" s="17" t="n">
        <v>20.2</v>
      </c>
      <c r="G184" s="17" t="n">
        <v>70.59999999999999</v>
      </c>
      <c r="H184" s="17" t="inlineStr">
        <is>
          <t>PM6:DTC-4F</t>
        </is>
      </c>
      <c r="I184" s="17" t="b">
        <v>0</v>
      </c>
      <c r="J184" s="17">
        <f>HYPERLINK("https://doi.org/10.1039/C9TA12605H","Chen (2020)")</f>
        <v/>
      </c>
      <c r="K184" s="17" t="b">
        <v>0</v>
      </c>
      <c r="L184" s="17" t="b">
        <v>0</v>
      </c>
      <c r="M184" s="17" t="b">
        <v>0</v>
      </c>
      <c r="N184" s="17" t="b">
        <v>0</v>
      </c>
    </row>
    <row r="185" ht="15" customFormat="1" customHeight="1" s="17">
      <c r="A185" s="17" t="n"/>
      <c r="B185" s="17" t="inlineStr">
        <is>
          <t>Organic</t>
        </is>
      </c>
      <c r="C185" s="22" t="n">
        <v>1.62</v>
      </c>
      <c r="D185" s="19" t="n">
        <v>12.2</v>
      </c>
      <c r="E185" s="20" t="n">
        <v>930</v>
      </c>
      <c r="F185" s="17" t="n">
        <v>17.5</v>
      </c>
      <c r="G185" s="17" t="n">
        <v>75</v>
      </c>
      <c r="H185" s="17" t="inlineStr">
        <is>
          <t>PTQ10:IDTPC</t>
        </is>
      </c>
      <c r="I185" s="17" t="b">
        <v>0</v>
      </c>
      <c r="J185" s="17">
        <f>HYPERLINK("https://doi.org/10.1002/aenm.201800856","Luo (2018)")</f>
        <v/>
      </c>
      <c r="K185" s="17" t="b">
        <v>0</v>
      </c>
      <c r="L185" s="17" t="b">
        <v>0</v>
      </c>
      <c r="M185" s="17" t="b">
        <v>0</v>
      </c>
      <c r="N185" s="17" t="b">
        <v>0</v>
      </c>
    </row>
    <row r="186" ht="15" customFormat="1" customHeight="1" s="17">
      <c r="A186" s="17" t="n"/>
      <c r="B186" s="17" t="inlineStr">
        <is>
          <t>Organic</t>
        </is>
      </c>
      <c r="C186" s="22" t="n">
        <v>1.63</v>
      </c>
      <c r="D186" s="19" t="n">
        <v>12.8</v>
      </c>
      <c r="E186" s="20" t="n">
        <v>910</v>
      </c>
      <c r="F186" s="17" t="n">
        <v>19.1</v>
      </c>
      <c r="G186" s="17" t="n">
        <v>73.59999999999999</v>
      </c>
      <c r="H186" s="17" t="inlineStr">
        <is>
          <t>PTQ10:IDIC-2F</t>
        </is>
      </c>
      <c r="I186" s="17" t="b">
        <v>0</v>
      </c>
      <c r="J186" s="17">
        <f>HYPERLINK("https://doi.org/10.1039/C9EE02433F","Pan (2019)")</f>
        <v/>
      </c>
      <c r="K186" s="17" t="b">
        <v>0</v>
      </c>
      <c r="L186" s="17" t="b">
        <v>0</v>
      </c>
      <c r="M186" s="17" t="b">
        <v>0</v>
      </c>
      <c r="N186" s="17" t="b">
        <v>0</v>
      </c>
    </row>
    <row r="187" ht="15" customFormat="1" customHeight="1" s="17">
      <c r="A187" s="17" t="n"/>
      <c r="B187" s="17" t="inlineStr">
        <is>
          <t>Organic</t>
        </is>
      </c>
      <c r="C187" s="22" t="n">
        <v>1.64</v>
      </c>
      <c r="D187" s="22" t="n">
        <v>12.2</v>
      </c>
      <c r="E187" s="20" t="n">
        <v>960</v>
      </c>
      <c r="F187" s="17" t="n">
        <v>17.4</v>
      </c>
      <c r="G187" s="17" t="n">
        <v>73</v>
      </c>
      <c r="H187" s="17" t="inlineStr">
        <is>
          <t>PTQ10:IDIC</t>
        </is>
      </c>
      <c r="I187" s="17" t="b">
        <v>0</v>
      </c>
      <c r="J187" s="17">
        <f>HYPERLINK("https://doi.org/10.1039/C9EE02433F","Pan (2019)")</f>
        <v/>
      </c>
      <c r="K187" s="17" t="b">
        <v>0</v>
      </c>
      <c r="L187" s="17" t="b">
        <v>0</v>
      </c>
      <c r="M187" s="17" t="b">
        <v>0</v>
      </c>
      <c r="N187" s="17" t="b">
        <v>0</v>
      </c>
    </row>
    <row r="188" ht="15" customFormat="1" customHeight="1" s="17">
      <c r="A188" s="17" t="n"/>
      <c r="B188" s="17" t="inlineStr">
        <is>
          <t>Organic</t>
        </is>
      </c>
      <c r="C188" s="22" t="n">
        <v>1.66</v>
      </c>
      <c r="D188" s="22" t="n">
        <v>12.1</v>
      </c>
      <c r="E188" s="20" t="n">
        <v>815</v>
      </c>
      <c r="F188" s="17" t="n">
        <v>20.3</v>
      </c>
      <c r="G188" s="17" t="n">
        <v>73.2</v>
      </c>
      <c r="H188" s="17" t="inlineStr">
        <is>
          <t>N.A.</t>
        </is>
      </c>
      <c r="I188" s="17" t="b">
        <v>1</v>
      </c>
      <c r="J188" s="17">
        <f>HYPERLINK("https://doi.org/10.1002/pip.2909","Green (2017)")</f>
        <v/>
      </c>
      <c r="K188" s="17" t="b">
        <v>1</v>
      </c>
      <c r="L188" s="17" t="b">
        <v>0</v>
      </c>
      <c r="M188" s="17" t="b">
        <v>0</v>
      </c>
      <c r="N188" s="17" t="b">
        <v>0</v>
      </c>
    </row>
    <row r="189" ht="15" customFormat="1" customHeight="1" s="17">
      <c r="A189" s="17" t="n"/>
      <c r="B189" s="17" t="inlineStr">
        <is>
          <t>Organic</t>
        </is>
      </c>
      <c r="C189" s="22" t="n">
        <v>1.67</v>
      </c>
      <c r="D189" s="22" t="n">
        <v>11.5</v>
      </c>
      <c r="E189" s="20" t="n">
        <v>791</v>
      </c>
      <c r="F189" s="17" t="n">
        <v>19.7</v>
      </c>
      <c r="G189" s="17" t="n">
        <v>73.7</v>
      </c>
      <c r="H189" s="17" t="inlineStr">
        <is>
          <t>N.A.</t>
        </is>
      </c>
      <c r="I189" s="17" t="b">
        <v>1</v>
      </c>
      <c r="J189" s="17">
        <f>HYPERLINK("https://doi.org/10.1002/pip.2728","Green (2016)")</f>
        <v/>
      </c>
      <c r="K189" s="17" t="b">
        <v>1</v>
      </c>
      <c r="L189" s="17" t="b">
        <v>0</v>
      </c>
      <c r="M189" s="17" t="b">
        <v>0</v>
      </c>
      <c r="N189" s="17" t="b">
        <v>0</v>
      </c>
    </row>
    <row r="190" ht="15" customFormat="1" customHeight="1" s="17">
      <c r="A190" s="17" t="n"/>
      <c r="B190" s="17" t="inlineStr">
        <is>
          <t>Organic</t>
        </is>
      </c>
      <c r="C190" s="22" t="n">
        <v>1.68</v>
      </c>
      <c r="D190" s="22" t="n">
        <v>12</v>
      </c>
      <c r="E190" s="20" t="n">
        <v>1030</v>
      </c>
      <c r="F190" s="17" t="n">
        <v>18.5</v>
      </c>
      <c r="G190" s="17" t="n">
        <v>63</v>
      </c>
      <c r="H190" s="17" t="inlineStr">
        <is>
          <t>PBDTTT-EFT:EHIDTBR</t>
        </is>
      </c>
      <c r="I190" s="17" t="b">
        <v>0</v>
      </c>
      <c r="J190" s="17">
        <f>HYPERLINK("https://doi.org/10.1038/s41467-018-04502-3","Baran (2018)")</f>
        <v/>
      </c>
      <c r="K190" s="17" t="b">
        <v>0</v>
      </c>
      <c r="L190" s="17" t="b">
        <v>0</v>
      </c>
      <c r="M190" s="17" t="b">
        <v>0</v>
      </c>
      <c r="N190" s="17" t="b">
        <v>0</v>
      </c>
    </row>
    <row r="191" ht="15" customFormat="1" customHeight="1" s="17">
      <c r="A191" s="17" t="n"/>
      <c r="B191" s="17" t="inlineStr">
        <is>
          <t>Organic</t>
        </is>
      </c>
      <c r="C191" s="22" t="n">
        <v>1.69</v>
      </c>
      <c r="D191" s="22" t="n">
        <v>8.9</v>
      </c>
      <c r="E191" s="20" t="n">
        <v>878</v>
      </c>
      <c r="F191" s="17" t="n">
        <v>13.9</v>
      </c>
      <c r="G191" s="17" t="n">
        <v>72.90000000000001</v>
      </c>
      <c r="H191" s="17" t="inlineStr">
        <is>
          <t xml:space="preserve"> PBT1-C:NFA</t>
        </is>
      </c>
      <c r="I191" s="17" t="b">
        <v>0</v>
      </c>
      <c r="J191" s="17">
        <f>HYPERLINK("https://doi.org/10.1016/j.jechem.2019.03.009","Li (2020)")</f>
        <v/>
      </c>
      <c r="K191" s="17" t="b">
        <v>0</v>
      </c>
      <c r="L191" s="17" t="b">
        <v>0</v>
      </c>
      <c r="M191" s="17" t="b">
        <v>0</v>
      </c>
      <c r="N191" s="17" t="b">
        <v>0</v>
      </c>
    </row>
    <row r="192" ht="15" customFormat="1" customHeight="1" s="17">
      <c r="A192" s="17" t="n"/>
      <c r="B192" s="17" t="inlineStr">
        <is>
          <t>Organic</t>
        </is>
      </c>
      <c r="C192" s="22" t="n">
        <v>1.7</v>
      </c>
      <c r="D192" s="22" t="n">
        <v>11.1</v>
      </c>
      <c r="E192" s="20" t="n">
        <v>867</v>
      </c>
      <c r="F192" s="17" t="n">
        <v>17.8</v>
      </c>
      <c r="G192" s="17" t="n">
        <v>71.90000000000001</v>
      </c>
      <c r="H192" s="17" t="inlineStr">
        <is>
          <t>N.A.</t>
        </is>
      </c>
      <c r="I192" s="17" t="b">
        <v>1</v>
      </c>
      <c r="J192" s="17">
        <f>HYPERLINK("https://doi.org/10.1002/pip.2352","Green (2013)")</f>
        <v/>
      </c>
      <c r="K192" s="17" t="b">
        <v>1</v>
      </c>
      <c r="L192" s="17" t="b">
        <v>0</v>
      </c>
      <c r="M192" s="17" t="b">
        <v>0</v>
      </c>
      <c r="N192" s="17" t="b">
        <v>0</v>
      </c>
    </row>
    <row r="193" ht="15" customFormat="1" customHeight="1" s="17">
      <c r="A193" s="17" t="n"/>
      <c r="B193" s="17" t="inlineStr">
        <is>
          <t>Organic</t>
        </is>
      </c>
      <c r="C193" s="17" t="n">
        <v>1.72</v>
      </c>
      <c r="D193" s="17" t="n">
        <v>10</v>
      </c>
      <c r="E193" s="20" t="n">
        <v>899</v>
      </c>
      <c r="F193" s="17" t="n">
        <v>16.8</v>
      </c>
      <c r="G193" s="17" t="n">
        <v>66.40000000000001</v>
      </c>
      <c r="H193" s="17" t="inlineStr">
        <is>
          <t>N.A.</t>
        </is>
      </c>
      <c r="I193" s="17" t="b">
        <v>1</v>
      </c>
      <c r="J193" s="17">
        <f>HYPERLINK("https://doi.org/10.1002/pip.2163","Green (2012)")</f>
        <v/>
      </c>
      <c r="K193" s="17" t="b">
        <v>1</v>
      </c>
      <c r="L193" s="17" t="b">
        <v>0</v>
      </c>
      <c r="M193" s="17" t="b">
        <v>0</v>
      </c>
      <c r="N193" s="17" t="b">
        <v>0</v>
      </c>
    </row>
    <row r="194" ht="15" customFormat="1" customHeight="1" s="17">
      <c r="A194" s="17" t="n"/>
      <c r="B194" s="17" t="inlineStr">
        <is>
          <t>Organic</t>
        </is>
      </c>
      <c r="C194" s="17" t="n">
        <v>1.76</v>
      </c>
      <c r="D194" s="17" t="n">
        <v>9.6</v>
      </c>
      <c r="E194" s="20" t="n">
        <v>786</v>
      </c>
      <c r="F194" s="17" t="n">
        <v>17</v>
      </c>
      <c r="G194" s="17" t="n">
        <v>72</v>
      </c>
      <c r="H194" s="17" t="inlineStr">
        <is>
          <r>
            <rPr>
              <rFont val="Calibri"/>
              <sz val="11"/>
            </rPr>
            <t>PPDT2FBT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70</t>
          </r>
          <r>
            <rPr>
              <rFont val="Calibri"/>
              <sz val="11"/>
            </rPr>
            <t>BM</t>
          </r>
        </is>
      </c>
      <c r="I194" s="17" t="b">
        <v>0</v>
      </c>
      <c r="J194" s="17">
        <f>HYPERLINK("https://doi.org/10.1021/acs.jpcc.9b08901","Phuong (2019)")</f>
        <v/>
      </c>
      <c r="K194" s="17" t="b">
        <v>0</v>
      </c>
      <c r="L194" s="17" t="b">
        <v>0</v>
      </c>
      <c r="M194" s="17" t="b">
        <v>0</v>
      </c>
      <c r="N194" s="17" t="b">
        <v>0</v>
      </c>
    </row>
    <row r="195" ht="15" customFormat="1" customHeight="1" s="17">
      <c r="A195" s="17" t="n"/>
      <c r="B195" s="17" t="inlineStr">
        <is>
          <t>Organic</t>
        </is>
      </c>
      <c r="C195" s="17" t="n">
        <v>1.79</v>
      </c>
      <c r="D195" s="17" t="n">
        <v>7.5</v>
      </c>
      <c r="E195" s="20" t="n">
        <v>1140</v>
      </c>
      <c r="F195" s="17" t="n">
        <v>10.6</v>
      </c>
      <c r="G195" s="17" t="n">
        <v>62.1</v>
      </c>
      <c r="H195" s="17" t="inlineStr">
        <is>
          <t>BDT-ffBX-DT:PDI4</t>
        </is>
      </c>
      <c r="I195" s="17" t="b">
        <v>0</v>
      </c>
      <c r="J195" s="17">
        <f>HYPERLINK("https://doi.org/10.1002/aenm.201801699","Liu (2018)")</f>
        <v/>
      </c>
      <c r="K195" s="17" t="b">
        <v>0</v>
      </c>
      <c r="L195" s="17" t="b">
        <v>0</v>
      </c>
      <c r="M195" s="17" t="b">
        <v>0</v>
      </c>
      <c r="N195" s="17" t="b">
        <v>0</v>
      </c>
    </row>
    <row r="196" ht="15" customFormat="1" customHeight="1" s="17">
      <c r="A196" s="17" t="n"/>
      <c r="B196" s="17" t="inlineStr">
        <is>
          <t>Organic</t>
        </is>
      </c>
      <c r="C196" s="17" t="n">
        <v>1.85</v>
      </c>
      <c r="D196" s="17" t="n">
        <v>7.6</v>
      </c>
      <c r="E196" s="20" t="n">
        <v>830</v>
      </c>
      <c r="F196" s="17" t="n">
        <v>13.3</v>
      </c>
      <c r="G196" s="17" t="n">
        <v>68.8</v>
      </c>
      <c r="H196" s="17" t="inlineStr">
        <is>
          <r>
            <rPr>
              <rFont val="Calibri"/>
              <sz val="11"/>
            </rPr>
            <t>PBDB-T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71</t>
          </r>
          <r>
            <rPr>
              <rFont val="Calibri"/>
              <sz val="11"/>
            </rPr>
            <t>BM</t>
          </r>
        </is>
      </c>
      <c r="I196" s="17" t="b">
        <v>0</v>
      </c>
      <c r="J196" s="17">
        <f>HYPERLINK("https://doi.org/10.1039/C9TA12029G","Zhang (2020)")</f>
        <v/>
      </c>
      <c r="K196" s="17" t="b">
        <v>0</v>
      </c>
      <c r="L196" s="17" t="b">
        <v>0</v>
      </c>
      <c r="M196" s="17" t="b">
        <v>0</v>
      </c>
      <c r="N196" s="17" t="b">
        <v>0</v>
      </c>
    </row>
    <row r="197" ht="15" customFormat="1" customHeight="1" s="17">
      <c r="A197" s="17" t="n"/>
      <c r="B197" s="17" t="inlineStr">
        <is>
          <t>Organic</t>
        </is>
      </c>
      <c r="C197" s="17" t="n">
        <v>1.86</v>
      </c>
      <c r="D197" s="17" t="n">
        <v>7.4</v>
      </c>
      <c r="E197" s="20" t="n">
        <v>940</v>
      </c>
      <c r="F197" s="17" t="n">
        <v>12.7</v>
      </c>
      <c r="G197" s="17" t="n">
        <v>62</v>
      </c>
      <c r="H197" s="17" t="inlineStr">
        <is>
          <t>PBDB-T:NDP-Se-DIO</t>
        </is>
      </c>
      <c r="I197" s="17" t="b">
        <v>0</v>
      </c>
      <c r="J197" s="17">
        <f>HYPERLINK("https://doi.org/10.1016/j.dyepig.2020.108186","Li (2020)")</f>
        <v/>
      </c>
      <c r="K197" s="17" t="b">
        <v>0</v>
      </c>
      <c r="L197" s="17" t="b">
        <v>0</v>
      </c>
      <c r="M197" s="17" t="b">
        <v>0</v>
      </c>
      <c r="N197" s="17" t="b">
        <v>0</v>
      </c>
    </row>
    <row r="198" ht="15" customFormat="1" customHeight="1" s="17">
      <c r="A198" s="17" t="n"/>
      <c r="B198" s="17" t="inlineStr">
        <is>
          <t>Organic</t>
        </is>
      </c>
      <c r="C198" s="17" t="n">
        <v>1.88</v>
      </c>
      <c r="D198" s="17" t="n">
        <v>5.7</v>
      </c>
      <c r="E198" s="20" t="n">
        <v>950</v>
      </c>
      <c r="F198" s="17" t="n">
        <v>10.7</v>
      </c>
      <c r="G198" s="17" t="n">
        <v>56.1</v>
      </c>
      <c r="H198" s="17" t="inlineStr">
        <is>
          <r>
            <rPr>
              <rFont val="Calibri"/>
              <sz val="11"/>
            </rPr>
            <t>PBDB-T-2Cl</t>
          </r>
          <r>
            <rPr>
              <rFont val="Calibri"/>
              <sz val="11"/>
            </rPr>
            <t>:</t>
          </r>
          <r>
            <rPr>
              <rFont val="Calibri"/>
              <sz val="11"/>
            </rPr>
            <t>PC</t>
          </r>
          <r>
            <rPr>
              <rFont val="Calibri"/>
              <sz val="11"/>
              <vertAlign val="subscript"/>
            </rPr>
            <t>61</t>
          </r>
          <r>
            <rPr>
              <rFont val="Calibri"/>
              <sz val="11"/>
            </rPr>
            <t>BM</t>
          </r>
        </is>
      </c>
      <c r="I198" s="17" t="b">
        <v>0</v>
      </c>
      <c r="J198" s="17">
        <f>HYPERLINK("https://doi.org/10.1007/s11426-019-9556-7","Ma (2020)")</f>
        <v/>
      </c>
      <c r="K198" s="17" t="b">
        <v>0</v>
      </c>
      <c r="L198" s="17" t="b">
        <v>0</v>
      </c>
      <c r="M198" s="17" t="b">
        <v>0</v>
      </c>
      <c r="N198" s="17" t="b">
        <v>0</v>
      </c>
    </row>
    <row r="199" ht="15" customFormat="1" customHeight="1" s="17">
      <c r="A199" s="17" t="n"/>
      <c r="B199" s="17" t="inlineStr">
        <is>
          <t>Organic</t>
        </is>
      </c>
      <c r="C199" s="17" t="n">
        <v>1.93</v>
      </c>
      <c r="D199" s="17" t="n">
        <v>6.3</v>
      </c>
      <c r="E199" s="20" t="n">
        <v>790</v>
      </c>
      <c r="F199" s="17" t="n">
        <v>12.2</v>
      </c>
      <c r="G199" s="17" t="n">
        <v>65.3</v>
      </c>
      <c r="H199" s="17" t="inlineStr">
        <is>
          <t>P3HT:TCBD14</t>
        </is>
      </c>
      <c r="I199" s="17" t="b">
        <v>0</v>
      </c>
      <c r="J199" s="17">
        <f>HYPERLINK("https://doi.org/10.1021/acsaem.1c02353","Abdul Raheem (2021)")</f>
        <v/>
      </c>
      <c r="K199" s="17" t="b">
        <v>0</v>
      </c>
      <c r="L199" s="17" t="b">
        <v>0</v>
      </c>
      <c r="M199" s="17" t="b">
        <v>0</v>
      </c>
      <c r="N199" s="17" t="b">
        <v>0</v>
      </c>
    </row>
    <row r="200" ht="15" customFormat="1" customHeight="1" s="17">
      <c r="A200" s="17" t="n"/>
      <c r="B200" s="17" t="inlineStr">
        <is>
          <t>Organic</t>
        </is>
      </c>
      <c r="C200" s="17" t="n">
        <v>2.01</v>
      </c>
      <c r="D200" s="17" t="n">
        <v>3.7</v>
      </c>
      <c r="E200" s="20" t="n">
        <v>592</v>
      </c>
      <c r="F200" s="17" t="n">
        <v>10.4</v>
      </c>
      <c r="G200" s="17" t="n">
        <v>60.1</v>
      </c>
      <c r="H200" s="17" t="inlineStr">
        <is>
          <t>P3HT:PCBM</t>
        </is>
      </c>
      <c r="I200" s="17" t="b">
        <v>0</v>
      </c>
      <c r="J200" s="17">
        <f>HYPERLINK("https://doi.org/10.1016/j.jallcom.2018.02.069","Shin (2018)")</f>
        <v/>
      </c>
      <c r="K200" s="17" t="b">
        <v>0</v>
      </c>
      <c r="L200" s="17" t="b">
        <v>0</v>
      </c>
      <c r="M200" s="17" t="b">
        <v>0</v>
      </c>
      <c r="N200" s="17" t="b">
        <v>0</v>
      </c>
    </row>
    <row r="201" ht="15" customFormat="1" customHeight="1" s="17">
      <c r="A201" s="17" t="n"/>
      <c r="B201" s="17" t="inlineStr">
        <is>
          <t>Organic</t>
        </is>
      </c>
      <c r="C201" s="17" t="n">
        <v>1.22</v>
      </c>
      <c r="D201" s="17" t="n">
        <v>13.4</v>
      </c>
      <c r="E201" s="20" t="n">
        <v>663</v>
      </c>
      <c r="F201" s="17" t="n">
        <v>30</v>
      </c>
      <c r="G201" s="17" t="n">
        <v>67.09999999999999</v>
      </c>
      <c r="H201" s="17" t="inlineStr">
        <is>
          <t>BTB7-Th:ATT-9</t>
        </is>
      </c>
      <c r="I201" s="17" t="b">
        <v>0</v>
      </c>
      <c r="J201" s="17">
        <f>HYPERLINK("https://doi.org/10.1002/adma.202200337","Liu (2022)")</f>
        <v/>
      </c>
      <c r="K201" s="17" t="b">
        <v>0</v>
      </c>
      <c r="L201" s="17" t="b">
        <v>0</v>
      </c>
      <c r="M201" s="17" t="b">
        <v>0</v>
      </c>
      <c r="N201" s="17" t="b">
        <v>0</v>
      </c>
    </row>
    <row r="202" ht="15" customFormat="1" customHeight="1" s="17">
      <c r="A202" s="17" t="n"/>
      <c r="B202" s="17" t="inlineStr">
        <is>
          <t>Organic</t>
        </is>
      </c>
      <c r="C202" s="17" t="n">
        <v>1.32</v>
      </c>
      <c r="D202" s="17" t="n">
        <v>13</v>
      </c>
      <c r="E202" s="20" t="n">
        <v>916</v>
      </c>
      <c r="F202" s="17" t="n">
        <v>20.2</v>
      </c>
      <c r="G202" s="17" t="n">
        <v>70.09999999999999</v>
      </c>
      <c r="H202" s="17" t="inlineStr">
        <is>
          <t>BTR:Y6:bisPC71BM</t>
        </is>
      </c>
      <c r="I202" s="17" t="b">
        <v>0</v>
      </c>
      <c r="J202" s="17">
        <f>HYPERLINK("https://doi.org/10.1039/D1SE01777B","Liu (2022)")</f>
        <v/>
      </c>
      <c r="K202" s="17" t="b">
        <v>0</v>
      </c>
      <c r="L202" s="17" t="b">
        <v>0</v>
      </c>
      <c r="M202" s="17" t="b">
        <v>0</v>
      </c>
      <c r="N202" s="17" t="b">
        <v>0</v>
      </c>
    </row>
    <row r="203" ht="15" customFormat="1" customHeight="1" s="17">
      <c r="A203" s="17" t="n"/>
      <c r="B203" s="17" t="inlineStr">
        <is>
          <t>Organic</t>
        </is>
      </c>
      <c r="C203" s="17" t="n">
        <v>2.03</v>
      </c>
      <c r="D203" s="17" t="n">
        <v>5.2</v>
      </c>
      <c r="E203" s="20" t="n">
        <v>1410</v>
      </c>
      <c r="F203" s="17" t="n">
        <v>6.1</v>
      </c>
      <c r="G203" s="17" t="n">
        <v>60.9</v>
      </c>
      <c r="H203" s="17" t="inlineStr">
        <is>
          <t>D18:PMI-FF-PMI</t>
        </is>
      </c>
      <c r="I203" s="17" t="b">
        <v>0</v>
      </c>
      <c r="J203" s="17">
        <f>HYPERLINK("https://doi.org/10.1039/D1TA09752K","Hofinger (2022)")</f>
        <v/>
      </c>
      <c r="K203" s="17" t="b">
        <v>0</v>
      </c>
      <c r="L203" s="17" t="b">
        <v>0</v>
      </c>
      <c r="M203" s="17" t="b">
        <v>0</v>
      </c>
      <c r="N203" s="17" t="b">
        <v>0</v>
      </c>
    </row>
    <row r="204" ht="15" customFormat="1" customHeight="1" s="17">
      <c r="A204" s="17" t="n"/>
      <c r="B204" s="17" t="inlineStr">
        <is>
          <t>Organic</t>
        </is>
      </c>
      <c r="C204" s="17" t="n">
        <v>1.82</v>
      </c>
      <c r="D204" s="17" t="n">
        <v>10.5</v>
      </c>
      <c r="E204" s="20" t="n">
        <v>1240</v>
      </c>
      <c r="F204" s="17" t="n">
        <v>13</v>
      </c>
      <c r="G204" s="17" t="n">
        <v>66</v>
      </c>
      <c r="H204" s="17" t="inlineStr">
        <is>
          <t>J52-Cl:BTA3</t>
        </is>
      </c>
      <c r="I204" s="17" t="b">
        <v>0</v>
      </c>
      <c r="J204" s="17">
        <f>HYPERLINK("https://doi.org/10.1021/acs.chemmater.8b05316","Tang (2019)")</f>
        <v/>
      </c>
      <c r="K204" s="17" t="b">
        <v>0</v>
      </c>
      <c r="L204" s="17" t="b">
        <v>0</v>
      </c>
      <c r="M204" s="17" t="b">
        <v>0</v>
      </c>
      <c r="N204" s="17" t="b">
        <v>0</v>
      </c>
    </row>
    <row r="205" ht="15" customFormat="1" customHeight="1" s="17">
      <c r="A205" s="17" t="n"/>
      <c r="B205" s="17" t="inlineStr">
        <is>
          <t>Organic</t>
        </is>
      </c>
      <c r="C205" s="17" t="n">
        <v>1.65</v>
      </c>
      <c r="D205" s="17" t="n">
        <v>10.4</v>
      </c>
      <c r="E205" s="20" t="n">
        <v>910</v>
      </c>
      <c r="F205" s="17" t="n">
        <v>16.2</v>
      </c>
      <c r="G205" s="17" t="n">
        <v>70.8</v>
      </c>
      <c r="H205" s="17" t="inlineStr">
        <is>
          <t>PBDB-T:ITIC</t>
        </is>
      </c>
      <c r="I205" s="17" t="b">
        <v>0</v>
      </c>
      <c r="J205" s="17">
        <f>HYPERLINK("https://doi.org/10.1021/acsaem.2c03465","Zhao (2023)")</f>
        <v/>
      </c>
      <c r="K205" s="17" t="b">
        <v>0</v>
      </c>
      <c r="L205" s="17" t="b">
        <v>0</v>
      </c>
      <c r="M205" s="17" t="b">
        <v>0</v>
      </c>
      <c r="N205" s="17" t="b">
        <v>0</v>
      </c>
    </row>
    <row r="206" ht="15" customFormat="1" customHeight="1" s="17">
      <c r="A206" s="17" t="n"/>
      <c r="B206" s="17" t="inlineStr">
        <is>
          <t>Organic</t>
        </is>
      </c>
      <c r="C206" s="17" t="n">
        <v>1.36</v>
      </c>
      <c r="D206" s="17" t="n">
        <v>18.3</v>
      </c>
      <c r="E206" s="20" t="n">
        <v>840</v>
      </c>
      <c r="F206" s="17" t="n">
        <v>27.4</v>
      </c>
      <c r="G206" s="17" t="n">
        <v>79.40000000000001</v>
      </c>
      <c r="H206" s="17" t="inlineStr">
        <is>
          <t>D18:NFAs</t>
        </is>
      </c>
      <c r="I206" s="17" t="b">
        <v>0</v>
      </c>
      <c r="J206" s="17">
        <f>HYPERLINK("https://doi.org/10.1002/aenm.202301292","Shi (2023)")</f>
        <v/>
      </c>
      <c r="K206" s="17" t="b">
        <v>0</v>
      </c>
      <c r="L206" s="17" t="b">
        <v>0</v>
      </c>
      <c r="M206" s="17" t="b">
        <v>0</v>
      </c>
      <c r="N206" s="17" t="b">
        <v>0</v>
      </c>
    </row>
    <row r="207" ht="15" customFormat="1" customHeight="1" s="17">
      <c r="A207" s="17" t="n"/>
      <c r="B207" s="17" t="inlineStr">
        <is>
          <t>Organic</t>
        </is>
      </c>
      <c r="C207" s="17" t="n">
        <v>1.35</v>
      </c>
      <c r="D207" s="17" t="n">
        <v>19.3</v>
      </c>
      <c r="E207" s="20" t="n">
        <v>870</v>
      </c>
      <c r="F207" s="17" t="n">
        <v>28.6</v>
      </c>
      <c r="G207" s="17" t="n">
        <v>77.59999999999999</v>
      </c>
      <c r="H207" s="17" t="inlineStr">
        <is>
          <t>PM6:BTP-eC9:L8-BO</t>
        </is>
      </c>
      <c r="I207" s="17" t="b">
        <v>0</v>
      </c>
      <c r="J207" s="17">
        <f>HYPERLINK("https://doi.org/10.1002/smll.202207505","Deng (2023)")</f>
        <v/>
      </c>
      <c r="K207" s="17" t="b">
        <v>0</v>
      </c>
      <c r="L207" s="17" t="b">
        <v>0</v>
      </c>
      <c r="M207" s="17" t="b">
        <v>0</v>
      </c>
      <c r="N207" s="17" t="b">
        <v>0</v>
      </c>
    </row>
    <row r="208" ht="15" customFormat="1" customHeight="1" s="17">
      <c r="A208" s="17" t="n"/>
      <c r="B208" s="17" t="inlineStr">
        <is>
          <t>Organic</t>
        </is>
      </c>
      <c r="C208" s="17" t="n">
        <v>1.4</v>
      </c>
      <c r="D208" s="17" t="n">
        <v>19.3</v>
      </c>
      <c r="E208" s="20" t="n">
        <v>861</v>
      </c>
      <c r="F208" s="17" t="n">
        <v>27.9</v>
      </c>
      <c r="G208" s="17" t="n">
        <v>80.40000000000001</v>
      </c>
      <c r="H208" s="17" t="inlineStr">
        <is>
          <t>PM6:BTP-eC9</t>
        </is>
      </c>
      <c r="I208" s="17" t="b">
        <v>0</v>
      </c>
      <c r="J208" s="17">
        <f>HYPERLINK("https://doi.org/10.1038/s41467-023-37526-5","Fu (2023)")</f>
        <v/>
      </c>
      <c r="K208" s="17" t="b">
        <v>0</v>
      </c>
      <c r="L208" s="17" t="b">
        <v>0</v>
      </c>
      <c r="M208" s="17" t="b">
        <v>0</v>
      </c>
      <c r="N208" s="17" t="b">
        <v>0</v>
      </c>
    </row>
    <row r="209" ht="15" customFormat="1" customHeight="1" s="17">
      <c r="A209" s="17" t="n"/>
      <c r="B209" s="17" t="inlineStr">
        <is>
          <t>Organic</t>
        </is>
      </c>
      <c r="C209" s="17" t="n">
        <v>1.46</v>
      </c>
      <c r="D209" s="17" t="n">
        <v>19.7</v>
      </c>
      <c r="E209" s="20" t="n">
        <v>937</v>
      </c>
      <c r="F209" s="17" t="n">
        <v>26.1</v>
      </c>
      <c r="G209" s="17" t="n">
        <v>80.59999999999999</v>
      </c>
      <c r="H209" s="17" t="inlineStr">
        <is>
          <t>D18:AQx-2F</t>
        </is>
      </c>
      <c r="I209" s="17" t="b">
        <v>0</v>
      </c>
      <c r="J209" s="17">
        <f>HYPERLINK("https://doi.org/10.1016/j.joule.2024.01.005","Liu (2024)")</f>
        <v/>
      </c>
      <c r="K209" s="17" t="b">
        <v>0</v>
      </c>
      <c r="L209" s="17" t="b">
        <v>0</v>
      </c>
      <c r="M209" s="17" t="b">
        <v>0</v>
      </c>
      <c r="N209" s="17" t="b">
        <v>0</v>
      </c>
    </row>
    <row r="210" ht="15" customFormat="1" customHeight="1" s="17">
      <c r="A210" s="17" t="n"/>
      <c r="B210" s="17" t="inlineStr">
        <is>
          <t>Organic</t>
        </is>
      </c>
      <c r="C210" s="17" t="n">
        <v>1.44</v>
      </c>
      <c r="D210" s="17" t="n">
        <v>19.9</v>
      </c>
      <c r="E210" s="20" t="n">
        <v>900</v>
      </c>
      <c r="F210" s="17" t="n">
        <v>27.5</v>
      </c>
      <c r="G210" s="17" t="n">
        <v>80.40000000000001</v>
      </c>
      <c r="H210" s="17" t="inlineStr">
        <is>
          <t>D18:PM6:L8-BO</t>
        </is>
      </c>
      <c r="I210" s="17" t="b">
        <v>0</v>
      </c>
      <c r="J210" s="17">
        <f>HYPERLINK("https://doi.org/10.1039/D4EE00605D","Guo (2024)")</f>
        <v/>
      </c>
      <c r="K210" s="17" t="b">
        <v>0</v>
      </c>
      <c r="L210" s="17" t="b">
        <v>0</v>
      </c>
      <c r="M210" s="17" t="b">
        <v>0</v>
      </c>
      <c r="N210" s="17" t="b">
        <v>0</v>
      </c>
    </row>
    <row r="211" ht="15" customFormat="1" customHeight="1" s="17">
      <c r="A211" s="17" t="n"/>
      <c r="B211" s="17" t="inlineStr">
        <is>
          <t>Organic</t>
        </is>
      </c>
      <c r="C211" s="17" t="n">
        <v>1.37</v>
      </c>
      <c r="D211" s="17" t="n">
        <v>20.2</v>
      </c>
      <c r="E211" s="20" t="n">
        <v>863</v>
      </c>
      <c r="F211" s="17" t="n">
        <v>29.1</v>
      </c>
      <c r="G211" s="17" t="n">
        <v>80.5</v>
      </c>
      <c r="H211" s="17" t="inlineStr">
        <is>
          <t>PM6:BTP-eC9:SMA</t>
        </is>
      </c>
      <c r="I211" s="17" t="b">
        <v>0</v>
      </c>
      <c r="J211" s="17">
        <f>HYPERLINK("https://doi.org/10.1002/adma.202406690","Chen (2024)")</f>
        <v/>
      </c>
      <c r="K211" s="17" t="b">
        <v>0</v>
      </c>
      <c r="L211" s="17" t="b">
        <v>0</v>
      </c>
      <c r="M211" s="17" t="b">
        <v>0</v>
      </c>
      <c r="N211" s="17" t="b">
        <v>0</v>
      </c>
    </row>
    <row r="212" ht="15" customFormat="1" customHeight="1" s="17">
      <c r="A212" s="17" t="n"/>
      <c r="B212" s="17" t="inlineStr">
        <is>
          <t>Organic</t>
        </is>
      </c>
      <c r="C212" s="17" t="n">
        <v>1.39</v>
      </c>
      <c r="D212" s="17" t="n">
        <v>20.1</v>
      </c>
      <c r="E212" s="20" t="n">
        <v>863</v>
      </c>
      <c r="F212" s="17" t="n">
        <v>28.8</v>
      </c>
      <c r="G212" s="17" t="n">
        <v>80.59999999999999</v>
      </c>
      <c r="H212" s="17" t="inlineStr">
        <is>
          <t>PM6:BTP-eC9</t>
        </is>
      </c>
      <c r="I212" s="17" t="b">
        <v>0</v>
      </c>
      <c r="J212" s="17">
        <f>HYPERLINK("https://doi.org/10.1039/D4EE05533K","Sun (2025)")</f>
        <v/>
      </c>
      <c r="K212" s="17" t="b">
        <v>0</v>
      </c>
      <c r="L212" s="17" t="b">
        <v>0</v>
      </c>
      <c r="M212" s="17" t="b">
        <v>0</v>
      </c>
      <c r="N212" s="17" t="b">
        <v>0</v>
      </c>
    </row>
    <row r="213" ht="15" customFormat="1" customHeight="1" s="17">
      <c r="A213" s="17" t="n"/>
      <c r="B213" s="17" t="inlineStr">
        <is>
          <t>Organic</t>
        </is>
      </c>
      <c r="C213" s="17" t="n">
        <v>1.4</v>
      </c>
      <c r="D213" s="17" t="n">
        <v>20.8</v>
      </c>
      <c r="E213" s="20" t="n">
        <v>867</v>
      </c>
      <c r="F213" s="17" t="n">
        <v>28.7</v>
      </c>
      <c r="G213" s="17" t="n">
        <v>83.59999999999999</v>
      </c>
      <c r="H213" s="17" t="inlineStr">
        <is>
          <t>D18-Cl:BTP-C3F</t>
        </is>
      </c>
      <c r="I213" s="17" t="b">
        <v>0</v>
      </c>
      <c r="J213" s="17">
        <f>HYPERLINK("https://doi.org/10.1039/D5EE00101C","Dong (2025)")</f>
        <v/>
      </c>
      <c r="K213" s="17" t="b">
        <v>0</v>
      </c>
      <c r="L213" s="17" t="b">
        <v>0</v>
      </c>
      <c r="M213" s="17" t="b">
        <v>0</v>
      </c>
      <c r="N213" s="17" t="b">
        <v>0</v>
      </c>
    </row>
    <row r="214" ht="15" customFormat="1" customHeight="1" s="17">
      <c r="A214" s="17" t="n"/>
      <c r="B214" s="17" t="inlineStr">
        <is>
          <t>Organic</t>
        </is>
      </c>
      <c r="C214" s="17" t="n">
        <v>1.46</v>
      </c>
      <c r="D214" s="17" t="n">
        <v>19.8</v>
      </c>
      <c r="E214" s="20" t="n">
        <v>903</v>
      </c>
      <c r="F214" s="17" t="n">
        <v>27.3</v>
      </c>
      <c r="G214" s="17" t="n">
        <v>80.3</v>
      </c>
      <c r="H214" s="17" t="inlineStr">
        <is>
          <t>PM6:L8-BO(TZ-3Cl)</t>
        </is>
      </c>
      <c r="I214" s="17" t="b">
        <v>0</v>
      </c>
      <c r="J214" s="17">
        <f>HYPERLINK("https://doi.org/10.1039/D4EE05375C","Wei (2025)")</f>
        <v/>
      </c>
      <c r="K214" s="17" t="b">
        <v>0</v>
      </c>
      <c r="L214" s="17" t="b">
        <v>0</v>
      </c>
      <c r="M214" s="17" t="b">
        <v>0</v>
      </c>
      <c r="N214" s="17" t="b">
        <v>0</v>
      </c>
    </row>
    <row r="215" ht="15" customFormat="1" customHeight="1" s="17">
      <c r="A215" s="17" t="n"/>
      <c r="B215" s="17" t="inlineStr">
        <is>
          <t>Organic</t>
        </is>
      </c>
      <c r="C215" s="17" t="n">
        <v>1.47</v>
      </c>
      <c r="D215" s="17" t="n">
        <v>19.3</v>
      </c>
      <c r="E215" s="20" t="n">
        <v>902</v>
      </c>
      <c r="F215" s="17" t="n">
        <v>27.5</v>
      </c>
      <c r="G215" s="17" t="n">
        <v>78</v>
      </c>
      <c r="H215" s="17" t="inlineStr">
        <is>
          <t>PM6/L8-BO(BBS+CN)</t>
        </is>
      </c>
      <c r="I215" s="17" t="b">
        <v>0</v>
      </c>
      <c r="J215" s="17">
        <f>HYPERLINK("https://doi.org/10.1039/D4EE05070C","Zhao (2025)")</f>
        <v/>
      </c>
      <c r="K215" s="17" t="b">
        <v>0</v>
      </c>
      <c r="L215" s="17" t="b">
        <v>0</v>
      </c>
      <c r="M215" s="17" t="b">
        <v>0</v>
      </c>
      <c r="N215" s="17" t="b">
        <v>0</v>
      </c>
    </row>
    <row r="216" ht="15" customFormat="1" customHeight="1" s="17">
      <c r="A216" s="17" t="n"/>
      <c r="B216" s="17" t="inlineStr">
        <is>
          <t>Organic</t>
        </is>
      </c>
      <c r="C216" s="17" t="n">
        <v>1.47</v>
      </c>
      <c r="D216" s="17" t="n">
        <v>19.3</v>
      </c>
      <c r="E216" s="20" t="n">
        <v>951</v>
      </c>
      <c r="F216" s="17" t="n">
        <v>26.4</v>
      </c>
      <c r="G216" s="17" t="n">
        <v>76.90000000000001</v>
      </c>
      <c r="H216" s="17" t="inlineStr">
        <is>
          <t>PM6:3QY</t>
        </is>
      </c>
      <c r="I216" s="17" t="b">
        <v>0</v>
      </c>
      <c r="J216" s="17">
        <f>HYPERLINK("https://doi.org/10.1039/D4EE04149F","Sun (2025)")</f>
        <v/>
      </c>
      <c r="K216" s="17" t="b">
        <v>0</v>
      </c>
      <c r="L216" s="17" t="b">
        <v>0</v>
      </c>
      <c r="M216" s="17" t="b">
        <v>0</v>
      </c>
      <c r="N216" s="17" t="b">
        <v>0</v>
      </c>
    </row>
    <row r="217" ht="15" customFormat="1" customHeight="1" s="17">
      <c r="A217" s="17" t="n"/>
      <c r="B217" s="17" t="inlineStr">
        <is>
          <t>Organic</t>
        </is>
      </c>
      <c r="C217" s="17" t="n">
        <v>1.48</v>
      </c>
      <c r="D217" s="17" t="n">
        <v>15.2</v>
      </c>
      <c r="E217" s="20" t="n">
        <v>944</v>
      </c>
      <c r="F217" s="17" t="n">
        <v>21.9</v>
      </c>
      <c r="G217" s="17" t="n">
        <v>73.5</v>
      </c>
      <c r="H217" s="17" t="inlineStr">
        <is>
          <t>PM6:CH-PHE</t>
        </is>
      </c>
      <c r="I217" s="17" t="b">
        <v>0</v>
      </c>
      <c r="J217" s="17">
        <f>HYPERLINK("https://doi.org/10.1039/D4EE06155A","Liu (2025)")</f>
        <v/>
      </c>
      <c r="K217" s="17" t="b">
        <v>0</v>
      </c>
      <c r="L217" s="17" t="b">
        <v>0</v>
      </c>
      <c r="M217" s="17" t="b">
        <v>0</v>
      </c>
      <c r="N217" s="17" t="b">
        <v>0</v>
      </c>
    </row>
    <row r="218" ht="15" customFormat="1" customHeight="1" s="17">
      <c r="A218" s="17" t="n"/>
      <c r="B218" s="17" t="inlineStr">
        <is>
          <t>Organic</t>
        </is>
      </c>
      <c r="C218" s="17" t="n">
        <v>1.5</v>
      </c>
      <c r="D218" s="17" t="n">
        <v>16.2</v>
      </c>
      <c r="E218" s="20" t="n">
        <v>920</v>
      </c>
      <c r="F218" s="17" t="n">
        <v>24.7</v>
      </c>
      <c r="G218" s="17" t="n">
        <v>71.3</v>
      </c>
      <c r="H218" s="17" t="inlineStr">
        <is>
          <t>PNTB6-Cl:BTP-Si4</t>
        </is>
      </c>
      <c r="I218" s="17" t="b">
        <v>0</v>
      </c>
      <c r="J218" s="17">
        <f>HYPERLINK("https://doi.org/10.1126/science.adp9709","Wang (2025)")</f>
        <v/>
      </c>
      <c r="K218" s="17" t="b">
        <v>0</v>
      </c>
      <c r="L218" s="17" t="b">
        <v>0</v>
      </c>
      <c r="M218" s="17" t="b">
        <v>0</v>
      </c>
      <c r="N218" s="17" t="b">
        <v>0</v>
      </c>
    </row>
    <row r="219" ht="15" customFormat="1" customHeight="1" s="17">
      <c r="A219" s="17" t="n"/>
      <c r="B219" s="17" t="inlineStr">
        <is>
          <t>Organic</t>
        </is>
      </c>
      <c r="C219" s="17" t="n">
        <v>1.42</v>
      </c>
      <c r="D219" s="17" t="n">
        <v>20.8</v>
      </c>
      <c r="E219" s="20" t="n">
        <v>890</v>
      </c>
      <c r="F219" s="17" t="n">
        <v>28.7</v>
      </c>
      <c r="G219" s="17" t="n">
        <v>81.5</v>
      </c>
      <c r="H219" s="17" t="inlineStr">
        <is>
          <t>D18:L8-BO:BTP-eC9</t>
        </is>
      </c>
      <c r="I219" s="17" t="b">
        <v>0</v>
      </c>
      <c r="J219" s="17">
        <f>HYPERLINK("https://doi.org/10.1002/adma.202502485","Xie (2025)")</f>
        <v/>
      </c>
      <c r="K219" s="17" t="b">
        <v>0</v>
      </c>
      <c r="L219" s="17" t="b">
        <v>0</v>
      </c>
      <c r="M219" s="17" t="b">
        <v>0</v>
      </c>
      <c r="N219" s="17" t="b">
        <v>0</v>
      </c>
    </row>
    <row r="220" ht="15" customFormat="1" customHeight="1" s="17">
      <c r="A220" s="17" t="n"/>
      <c r="B220" s="17" t="inlineStr">
        <is>
          <t>Organic</t>
        </is>
      </c>
      <c r="C220" s="17" t="n">
        <v>1.43</v>
      </c>
      <c r="D220" s="17" t="n">
        <v>21</v>
      </c>
      <c r="E220" s="20" t="n">
        <v>914</v>
      </c>
      <c r="F220" s="17" t="n">
        <v>27.7</v>
      </c>
      <c r="G220" s="17" t="n">
        <v>82.90000000000001</v>
      </c>
      <c r="H220" s="17" t="inlineStr">
        <is>
          <t>D18 (PY-IT diluted)/L8-BO:C5-16 (D18 diluted)</t>
        </is>
      </c>
      <c r="I220" s="17" t="b">
        <v>0</v>
      </c>
      <c r="J220" s="17">
        <f>HYPERLINK("https://doi.org/10.1002/adma.202419923","Wang (2025)")</f>
        <v/>
      </c>
      <c r="K220" s="17" t="b">
        <v>0</v>
      </c>
      <c r="L220" s="17" t="b">
        <v>0</v>
      </c>
      <c r="M220" s="17" t="b">
        <v>0</v>
      </c>
      <c r="N220" s="17" t="b">
        <v>0</v>
      </c>
    </row>
    <row r="221" ht="15" customFormat="1" customHeight="1" s="17">
      <c r="A221" s="17" t="n"/>
      <c r="B221" s="17" t="inlineStr">
        <is>
          <t>Organic</t>
        </is>
      </c>
      <c r="C221" s="17" t="n">
        <v>1.4</v>
      </c>
      <c r="D221" s="17" t="n">
        <v>20.9</v>
      </c>
      <c r="E221" s="20" t="n">
        <v>913</v>
      </c>
      <c r="F221" s="17" t="n">
        <v>27.9</v>
      </c>
      <c r="G221" s="17" t="n">
        <v>81.90000000000001</v>
      </c>
      <c r="H221" s="17" t="inlineStr">
        <is>
          <t>D18:L8-BO-C5:O6R-4F</t>
        </is>
      </c>
      <c r="I221" s="17" t="b">
        <v>1</v>
      </c>
      <c r="J221" s="17">
        <f>HYPERLINK("https://doi.org/10.1038/s41467-026-76584-3","Lai (2026)")</f>
        <v/>
      </c>
      <c r="K221" s="17" t="b">
        <v>0</v>
      </c>
      <c r="L221" s="17" t="b">
        <v>0</v>
      </c>
      <c r="M221" s="17" t="b">
        <v>0</v>
      </c>
      <c r="N221" s="17" t="b">
        <v>0</v>
      </c>
    </row>
    <row r="222" ht="15" customFormat="1" customHeight="1" s="17">
      <c r="A222" s="17" t="n"/>
      <c r="B222" s="17" t="inlineStr">
        <is>
          <t>Dye-sensitized</t>
        </is>
      </c>
      <c r="C222" s="17" t="n">
        <v>1.75</v>
      </c>
      <c r="D222" s="17" t="n">
        <v>10.9</v>
      </c>
      <c r="E222" s="20" t="n">
        <v>745</v>
      </c>
      <c r="F222" s="17" t="n">
        <v>20.7</v>
      </c>
      <c r="G222" s="17" t="n">
        <v>70.8</v>
      </c>
      <c r="H222" s="17" t="inlineStr">
        <is>
          <t>YKP-88/YKP-137 (6/4)</t>
        </is>
      </c>
      <c r="I222" s="17" t="b">
        <v>0</v>
      </c>
      <c r="J222" s="17">
        <f>HYPERLINK("https://doi.org/10.1039/D0SE01345E","Godfroy (2021)")</f>
        <v/>
      </c>
      <c r="K222" s="17" t="b">
        <v>0</v>
      </c>
      <c r="L222" s="17" t="b">
        <v>0</v>
      </c>
      <c r="M222" s="17" t="b">
        <v>0</v>
      </c>
      <c r="N222" s="17" t="b">
        <v>0</v>
      </c>
    </row>
    <row r="223" ht="15" customFormat="1" customHeight="1" s="17">
      <c r="A223" s="17" t="n"/>
      <c r="B223" s="17" t="inlineStr">
        <is>
          <t>Dye-sensitized</t>
        </is>
      </c>
      <c r="C223" s="17" t="n">
        <v>1.44</v>
      </c>
      <c r="D223" s="17" t="n">
        <v>11</v>
      </c>
      <c r="E223" s="20" t="n">
        <v>714</v>
      </c>
      <c r="F223" s="17" t="n">
        <v>21.9</v>
      </c>
      <c r="G223" s="17" t="n">
        <v>70.3</v>
      </c>
      <c r="H223" s="17" t="inlineStr">
        <is>
          <t>N.A.</t>
        </is>
      </c>
      <c r="I223" s="17" t="b">
        <v>1</v>
      </c>
      <c r="J223" s="17">
        <f>HYPERLINK("https://doi.org/10.1002/pip.2163","Green (2012)")</f>
        <v/>
      </c>
      <c r="K223" s="17" t="b">
        <v>1</v>
      </c>
      <c r="L223" s="17" t="b">
        <v>1</v>
      </c>
      <c r="M223" s="17" t="b">
        <v>0</v>
      </c>
      <c r="N223" s="17" t="b">
        <v>0</v>
      </c>
    </row>
    <row r="224" ht="15" customFormat="1" customHeight="1" s="17">
      <c r="A224" s="17" t="n"/>
      <c r="B224" s="17" t="inlineStr">
        <is>
          <t>Dye-sensitized</t>
        </is>
      </c>
      <c r="C224" s="17" t="n">
        <v>1.52</v>
      </c>
      <c r="D224" s="17" t="n">
        <v>11.4</v>
      </c>
      <c r="E224" s="20" t="n">
        <v>743</v>
      </c>
      <c r="F224" s="17" t="n">
        <v>21.3</v>
      </c>
      <c r="G224" s="17" t="n">
        <v>71.90000000000001</v>
      </c>
      <c r="H224" s="17" t="inlineStr">
        <is>
          <t>N.A.</t>
        </is>
      </c>
      <c r="I224" s="17" t="b">
        <v>1</v>
      </c>
      <c r="J224" s="17">
        <f>HYPERLINK("https://doi.org/10.1002/pip.2163","Green (2012)")</f>
        <v/>
      </c>
      <c r="K224" s="17" t="b">
        <v>1</v>
      </c>
      <c r="L224" s="17" t="b">
        <v>0</v>
      </c>
      <c r="M224" s="17" t="b">
        <v>0</v>
      </c>
      <c r="N224" s="17" t="b">
        <v>0</v>
      </c>
    </row>
    <row r="225" ht="15" customFormat="1" customHeight="1" s="17">
      <c r="A225" s="17" t="n"/>
      <c r="B225" s="17" t="inlineStr">
        <is>
          <t>Dye-sensitized</t>
        </is>
      </c>
      <c r="C225" s="17" t="n">
        <v>1.59</v>
      </c>
      <c r="D225" s="17" t="n">
        <v>10.1</v>
      </c>
      <c r="E225" s="20" t="n">
        <v>710</v>
      </c>
      <c r="F225" s="17" t="n">
        <v>18.5</v>
      </c>
      <c r="G225" s="17" t="n">
        <v>76.90000000000001</v>
      </c>
      <c r="H225" s="17" t="inlineStr">
        <is>
          <t>TF-tBu_C3F7</t>
        </is>
      </c>
      <c r="I225" s="17" t="b">
        <v>0</v>
      </c>
      <c r="J225" s="17">
        <f>HYPERLINK("https://doi.org/10.1039/C7RA07379H","Chang (2017)")</f>
        <v/>
      </c>
      <c r="K225" s="17" t="b">
        <v>0</v>
      </c>
      <c r="L225" s="17" t="b">
        <v>0</v>
      </c>
      <c r="M225" s="17" t="b">
        <v>0</v>
      </c>
      <c r="N225" s="17" t="b">
        <v>0</v>
      </c>
    </row>
    <row r="226" ht="15" customFormat="1" customHeight="1" s="17">
      <c r="A226" s="17" t="n"/>
      <c r="B226" s="17" t="inlineStr">
        <is>
          <t>Dye-sensitized</t>
        </is>
      </c>
      <c r="C226" s="17" t="n">
        <v>1.74</v>
      </c>
      <c r="D226" s="17" t="n">
        <v>7.8</v>
      </c>
      <c r="E226" s="20" t="n">
        <v>694</v>
      </c>
      <c r="F226" s="17" t="n">
        <v>15.4</v>
      </c>
      <c r="G226" s="17" t="n">
        <v>73</v>
      </c>
      <c r="H226" s="17" t="inlineStr">
        <is>
          <t>YD2</t>
        </is>
      </c>
      <c r="I226" s="17" t="b">
        <v>0</v>
      </c>
      <c r="J226" s="17">
        <f>HYPERLINK("https://doi.org/10.1021/acsami.8b14457","Reddy (2018)")</f>
        <v/>
      </c>
      <c r="K226" s="17" t="b">
        <v>0</v>
      </c>
      <c r="L226" s="17" t="b">
        <v>0</v>
      </c>
      <c r="M226" s="17" t="b">
        <v>0</v>
      </c>
      <c r="N226" s="17" t="b">
        <v>0</v>
      </c>
    </row>
    <row r="227" ht="15" customFormat="1" customHeight="1" s="17">
      <c r="A227" s="17" t="n"/>
      <c r="B227" s="17" t="inlineStr">
        <is>
          <t>Dye-sensitized</t>
        </is>
      </c>
      <c r="C227" s="17" t="n">
        <v>1.76</v>
      </c>
      <c r="D227" s="17" t="n">
        <v>12</v>
      </c>
      <c r="E227" s="20" t="n">
        <v>960</v>
      </c>
      <c r="F227" s="17" t="n">
        <v>15.9</v>
      </c>
      <c r="G227" s="17" t="n">
        <v>79</v>
      </c>
      <c r="H227" s="17" t="inlineStr">
        <is>
          <t>SM371</t>
        </is>
      </c>
      <c r="I227" s="17" t="b">
        <v>0</v>
      </c>
      <c r="J227" s="17">
        <f>HYPERLINK("https://doi.org/10.1038/nchem.1861","Mathew (2014)")</f>
        <v/>
      </c>
      <c r="K227" s="17" t="b">
        <v>0</v>
      </c>
      <c r="L227" s="17" t="b">
        <v>0</v>
      </c>
      <c r="M227" s="17" t="b">
        <v>0</v>
      </c>
      <c r="N227" s="17" t="b">
        <v>0</v>
      </c>
    </row>
    <row r="228" ht="15" customFormat="1" customHeight="1" s="17">
      <c r="A228" s="17" t="n"/>
      <c r="B228" s="17" t="inlineStr">
        <is>
          <t>Dye-sensitized</t>
        </is>
      </c>
      <c r="C228" s="17" t="n">
        <v>1.77</v>
      </c>
      <c r="D228" s="17" t="n">
        <v>10</v>
      </c>
      <c r="E228" s="20" t="n">
        <v>740</v>
      </c>
      <c r="F228" s="17" t="n">
        <v>18.1</v>
      </c>
      <c r="G228" s="17" t="n">
        <v>74.7</v>
      </c>
      <c r="H228" s="17" t="inlineStr">
        <is>
          <t>N719</t>
        </is>
      </c>
      <c r="I228" s="17" t="b">
        <v>0</v>
      </c>
      <c r="J228" s="17">
        <f>HYPERLINK("https://doi.org/10.1002/aenm.201700032","Tingare (2017)")</f>
        <v/>
      </c>
      <c r="K228" s="17" t="b">
        <v>0</v>
      </c>
      <c r="L228" s="17" t="b">
        <v>0</v>
      </c>
      <c r="M228" s="17" t="b">
        <v>0</v>
      </c>
      <c r="N228" s="17" t="b">
        <v>0</v>
      </c>
    </row>
    <row r="229" ht="15" customFormat="1" customHeight="1" s="17">
      <c r="A229" s="17" t="n"/>
      <c r="B229" s="17" t="inlineStr">
        <is>
          <t>Dye-sensitized</t>
        </is>
      </c>
      <c r="C229" s="17" t="n">
        <v>1.8</v>
      </c>
      <c r="D229" s="17" t="n">
        <v>9</v>
      </c>
      <c r="E229" s="20" t="n">
        <v>790</v>
      </c>
      <c r="F229" s="17" t="n">
        <v>19.8</v>
      </c>
      <c r="G229" s="17" t="n">
        <v>57.2</v>
      </c>
      <c r="H229" s="17" t="inlineStr">
        <is>
          <t>N719</t>
        </is>
      </c>
      <c r="I229" s="17" t="b">
        <v>0</v>
      </c>
      <c r="J229" s="17">
        <f>HYPERLINK("https://doi.org/10.1016/j.orgel.2017.06.002","Wang (2017)")</f>
        <v/>
      </c>
      <c r="K229" s="17" t="b">
        <v>0</v>
      </c>
      <c r="L229" s="17" t="b">
        <v>0</v>
      </c>
      <c r="M229" s="17" t="b">
        <v>0</v>
      </c>
      <c r="N229" s="17" t="b">
        <v>0</v>
      </c>
    </row>
    <row r="230" ht="15" customFormat="1" customHeight="1" s="17">
      <c r="A230" s="17" t="n"/>
      <c r="B230" s="17" t="inlineStr">
        <is>
          <t>Dye-sensitized</t>
        </is>
      </c>
      <c r="C230" s="17" t="n">
        <v>1.8</v>
      </c>
      <c r="D230" s="17" t="n">
        <v>9.1</v>
      </c>
      <c r="E230" s="20" t="n">
        <v>744</v>
      </c>
      <c r="F230" s="17" t="n">
        <v>19</v>
      </c>
      <c r="G230" s="17" t="n">
        <v>64</v>
      </c>
      <c r="H230" s="17" t="inlineStr">
        <is>
          <t>N719</t>
        </is>
      </c>
      <c r="I230" s="17" t="b">
        <v>0</v>
      </c>
      <c r="J230" s="17">
        <f>HYPERLINK("https://doi.org/10.1016/j.solener.2020.03.108","Akman (2020)")</f>
        <v/>
      </c>
      <c r="K230" s="17" t="b">
        <v>0</v>
      </c>
      <c r="L230" s="17" t="b">
        <v>0</v>
      </c>
      <c r="M230" s="17" t="b">
        <v>0</v>
      </c>
      <c r="N230" s="17" t="b">
        <v>0</v>
      </c>
    </row>
    <row r="231" ht="15" customFormat="1" customHeight="1" s="17">
      <c r="A231" s="17" t="n"/>
      <c r="B231" s="17" t="inlineStr">
        <is>
          <t>Dye-sensitized</t>
        </is>
      </c>
      <c r="C231" s="17" t="n">
        <v>1.82</v>
      </c>
      <c r="D231" s="17" t="n">
        <v>6.4</v>
      </c>
      <c r="E231" s="20" t="n">
        <v>680</v>
      </c>
      <c r="F231" s="17" t="n">
        <v>13.1</v>
      </c>
      <c r="G231" s="17" t="n">
        <v>71.8</v>
      </c>
      <c r="H231" s="17" t="inlineStr">
        <is>
          <t>AN-11</t>
        </is>
      </c>
      <c r="I231" s="17" t="b">
        <v>0</v>
      </c>
      <c r="J231" s="17">
        <f>HYPERLINK("https://doi.org/10.1039/C7TA09322E","Tsai (2018)")</f>
        <v/>
      </c>
      <c r="K231" s="17" t="b">
        <v>0</v>
      </c>
      <c r="L231" s="17" t="b">
        <v>0</v>
      </c>
      <c r="M231" s="17" t="b">
        <v>0</v>
      </c>
      <c r="N231" s="17" t="b">
        <v>0</v>
      </c>
    </row>
    <row r="232" ht="15" customFormat="1" customHeight="1" s="17">
      <c r="A232" s="17" t="n"/>
      <c r="B232" s="17" t="inlineStr">
        <is>
          <t>Dye-sensitized</t>
        </is>
      </c>
      <c r="C232" s="17" t="n">
        <v>1.86</v>
      </c>
      <c r="D232" s="17" t="n">
        <v>8.300000000000001</v>
      </c>
      <c r="E232" s="20" t="n">
        <v>782</v>
      </c>
      <c r="F232" s="17" t="n">
        <v>14.8</v>
      </c>
      <c r="G232" s="17" t="n">
        <v>71.7</v>
      </c>
      <c r="H232" s="17" t="inlineStr">
        <is>
          <t>N719</t>
        </is>
      </c>
      <c r="I232" s="17" t="b">
        <v>0</v>
      </c>
      <c r="J232" s="17">
        <f>HYPERLINK("https://doi.org/10.1021/acsami.7b12960","Reddy (2018)")</f>
        <v/>
      </c>
      <c r="K232" s="17" t="b">
        <v>0</v>
      </c>
      <c r="L232" s="17" t="b">
        <v>0</v>
      </c>
      <c r="M232" s="17" t="b">
        <v>0</v>
      </c>
      <c r="N232" s="17" t="b">
        <v>0</v>
      </c>
    </row>
    <row r="233" ht="15" customFormat="1" customHeight="1" s="17">
      <c r="A233" s="17" t="n"/>
      <c r="B233" s="17" t="inlineStr">
        <is>
          <t>Dye-sensitized</t>
        </is>
      </c>
      <c r="C233" s="17" t="n">
        <v>1.87</v>
      </c>
      <c r="D233" s="17" t="n">
        <v>9.1</v>
      </c>
      <c r="E233" s="20" t="n">
        <v>1060</v>
      </c>
      <c r="F233" s="17" t="n">
        <v>11.2</v>
      </c>
      <c r="G233" s="17" t="n">
        <v>76.7</v>
      </c>
      <c r="H233" s="17" t="inlineStr">
        <is>
          <t>L351</t>
        </is>
      </c>
      <c r="I233" s="17" t="b">
        <v>0</v>
      </c>
      <c r="J233" s="17">
        <f>HYPERLINK("https://doi.org/10.1002/ange.201808609","Liu (2018)")</f>
        <v/>
      </c>
      <c r="K233" s="17" t="b">
        <v>0</v>
      </c>
      <c r="L233" s="17" t="b">
        <v>0</v>
      </c>
      <c r="M233" s="17" t="b">
        <v>0</v>
      </c>
      <c r="N233" s="17" t="b">
        <v>0</v>
      </c>
    </row>
    <row r="234" ht="15" customFormat="1" customHeight="1" s="17">
      <c r="A234" s="17" t="n"/>
      <c r="B234" s="17" t="inlineStr">
        <is>
          <t>Dye-sensitized</t>
        </is>
      </c>
      <c r="C234" s="17" t="n">
        <v>1.88</v>
      </c>
      <c r="D234" s="17" t="n">
        <v>7.8</v>
      </c>
      <c r="E234" s="20" t="n">
        <v>730</v>
      </c>
      <c r="F234" s="17" t="n">
        <v>14.3</v>
      </c>
      <c r="G234" s="17" t="n">
        <v>74.7</v>
      </c>
      <c r="H234" s="17" t="inlineStr">
        <is>
          <t>TY4</t>
        </is>
      </c>
      <c r="I234" s="17" t="b">
        <v>0</v>
      </c>
      <c r="J234" s="17">
        <f>HYPERLINK("https://doi.org/10.1002/aenm.201700032","Tingare (2017)")</f>
        <v/>
      </c>
      <c r="K234" s="17" t="b">
        <v>0</v>
      </c>
      <c r="L234" s="17" t="b">
        <v>0</v>
      </c>
      <c r="M234" s="17" t="b">
        <v>0</v>
      </c>
      <c r="N234" s="17" t="b">
        <v>0</v>
      </c>
    </row>
    <row r="235" ht="15" customFormat="1" customHeight="1" s="17">
      <c r="A235" s="17" t="n"/>
      <c r="B235" s="17" t="inlineStr">
        <is>
          <t>Dye-sensitized</t>
        </is>
      </c>
      <c r="C235" s="17" t="n">
        <v>1.93</v>
      </c>
      <c r="D235" s="17" t="n">
        <v>11.2</v>
      </c>
      <c r="E235" s="20" t="n">
        <v>1140</v>
      </c>
      <c r="F235" s="17" t="n">
        <v>13</v>
      </c>
      <c r="G235" s="17" t="n">
        <v>75.59999999999999</v>
      </c>
      <c r="H235" s="17" t="inlineStr">
        <is>
          <t>L350</t>
        </is>
      </c>
      <c r="I235" s="17" t="b">
        <v>0</v>
      </c>
      <c r="J235" s="17">
        <f>HYPERLINK("https://doi.org/10.1002/ange.201808609","Liu (2018)")</f>
        <v/>
      </c>
      <c r="K235" s="17" t="b">
        <v>0</v>
      </c>
      <c r="L235" s="17" t="b">
        <v>0</v>
      </c>
      <c r="M235" s="17" t="b">
        <v>0</v>
      </c>
      <c r="N235" s="17" t="b">
        <v>0</v>
      </c>
    </row>
    <row r="236" ht="15" customFormat="1" customHeight="1" s="17">
      <c r="A236" s="17" t="n"/>
      <c r="B236" s="17" t="inlineStr">
        <is>
          <t>Dye-sensitized</t>
        </is>
      </c>
      <c r="C236" s="17" t="n">
        <v>1.97</v>
      </c>
      <c r="D236" s="17" t="n">
        <v>3</v>
      </c>
      <c r="E236" s="20" t="n">
        <v>600</v>
      </c>
      <c r="F236" s="17" t="n">
        <v>6.3</v>
      </c>
      <c r="G236" s="17" t="n">
        <v>79.40000000000001</v>
      </c>
      <c r="H236" s="17" t="inlineStr">
        <is>
          <t>AN-14</t>
        </is>
      </c>
      <c r="I236" s="17" t="b">
        <v>0</v>
      </c>
      <c r="J236" s="17">
        <f>HYPERLINK("https://doi.org/10.1039/C7TA09322E","Tsai (2018)")</f>
        <v/>
      </c>
      <c r="K236" s="17" t="b">
        <v>0</v>
      </c>
      <c r="L236" s="17" t="b">
        <v>0</v>
      </c>
      <c r="M236" s="17" t="b">
        <v>0</v>
      </c>
      <c r="N236" s="17" t="b">
        <v>0</v>
      </c>
    </row>
    <row r="237" ht="15" customFormat="1" customHeight="1" s="17">
      <c r="A237" s="17" t="n"/>
      <c r="B237" s="17" t="inlineStr">
        <is>
          <t>Dye-sensitized</t>
        </is>
      </c>
      <c r="C237" s="17" t="n">
        <v>1.99</v>
      </c>
      <c r="D237" s="17" t="n">
        <v>5.4</v>
      </c>
      <c r="E237" s="20" t="n">
        <v>689</v>
      </c>
      <c r="F237" s="17" t="n">
        <v>11.3</v>
      </c>
      <c r="G237" s="17" t="n">
        <v>69.40000000000001</v>
      </c>
      <c r="H237" s="17" t="inlineStr">
        <is>
          <t>SK6</t>
        </is>
      </c>
      <c r="I237" s="17" t="b">
        <v>0</v>
      </c>
      <c r="J237" s="17">
        <f>HYPERLINK("https://doi.org/10.1021/acsami.7b12960","Reddy (2018)")</f>
        <v/>
      </c>
      <c r="K237" s="17" t="b">
        <v>0</v>
      </c>
      <c r="L237" s="17" t="b">
        <v>0</v>
      </c>
      <c r="M237" s="17" t="b">
        <v>0</v>
      </c>
      <c r="N237" s="17" t="b">
        <v>0</v>
      </c>
    </row>
    <row r="238" ht="15" customFormat="1" customHeight="1" s="17">
      <c r="A238" s="17" t="n"/>
      <c r="B238" s="17" t="inlineStr">
        <is>
          <t>Dye-sensitized</t>
        </is>
      </c>
      <c r="C238" s="17" t="n">
        <v>2</v>
      </c>
      <c r="D238" s="17" t="n">
        <v>6.3</v>
      </c>
      <c r="E238" s="20" t="n">
        <v>732</v>
      </c>
      <c r="F238" s="17" t="n">
        <v>12</v>
      </c>
      <c r="G238" s="17" t="n">
        <v>71.7</v>
      </c>
      <c r="H238" s="17" t="inlineStr">
        <is>
          <t>SK6+CW10</t>
        </is>
      </c>
      <c r="I238" s="17" t="b">
        <v>0</v>
      </c>
      <c r="J238" s="17">
        <f>HYPERLINK("https://doi.org/10.1021/acsami.7b12960","Reddy (2018)")</f>
        <v/>
      </c>
      <c r="K238" s="17" t="b">
        <v>0</v>
      </c>
      <c r="L238" s="17" t="b">
        <v>0</v>
      </c>
      <c r="M238" s="17" t="b">
        <v>0</v>
      </c>
      <c r="N238" s="17" t="b">
        <v>0</v>
      </c>
    </row>
    <row r="239" ht="15" customFormat="1" customHeight="1" s="17">
      <c r="A239" s="17" t="n"/>
      <c r="B239" s="17" t="inlineStr">
        <is>
          <t>Dye-sensitized</t>
        </is>
      </c>
      <c r="C239" s="17" t="n">
        <v>2.01</v>
      </c>
      <c r="D239" s="17" t="n">
        <v>9.199999999999999</v>
      </c>
      <c r="E239" s="20" t="n">
        <v>1160</v>
      </c>
      <c r="F239" s="17" t="n">
        <v>11</v>
      </c>
      <c r="G239" s="17" t="n">
        <v>72.09999999999999</v>
      </c>
      <c r="H239" s="17" t="inlineStr">
        <is>
          <t>L349</t>
        </is>
      </c>
      <c r="I239" s="17" t="b">
        <v>0</v>
      </c>
      <c r="J239" s="17">
        <f>HYPERLINK("https://doi.org/10.1002/ange.201808609","Liu (2018)")</f>
        <v/>
      </c>
      <c r="K239" s="17" t="b">
        <v>0</v>
      </c>
      <c r="L239" s="17" t="b">
        <v>0</v>
      </c>
      <c r="M239" s="17" t="b">
        <v>0</v>
      </c>
      <c r="N239" s="17" t="b">
        <v>0</v>
      </c>
    </row>
    <row r="240" ht="15" customFormat="1" customHeight="1" s="17">
      <c r="A240" s="17" t="n"/>
      <c r="B240" s="17" t="inlineStr">
        <is>
          <t>Dye-sensitized</t>
        </is>
      </c>
      <c r="C240" s="17" t="n">
        <v>2.02</v>
      </c>
      <c r="D240" s="17" t="n">
        <v>8.1</v>
      </c>
      <c r="E240" s="20" t="n">
        <v>760</v>
      </c>
      <c r="F240" s="17" t="n">
        <v>14.3</v>
      </c>
      <c r="G240" s="17" t="n">
        <v>74.5</v>
      </c>
      <c r="H240" s="17" t="inlineStr">
        <is>
          <t>TY6</t>
        </is>
      </c>
      <c r="I240" s="17" t="b">
        <v>0</v>
      </c>
      <c r="J240" s="17">
        <f>HYPERLINK("https://doi.org/10.1002/aenm.201700032","Tingare (2017)")</f>
        <v/>
      </c>
      <c r="K240" s="17" t="b">
        <v>0</v>
      </c>
      <c r="L240" s="17" t="b">
        <v>0</v>
      </c>
      <c r="M240" s="17" t="b">
        <v>0</v>
      </c>
      <c r="N240" s="17" t="b">
        <v>0</v>
      </c>
    </row>
    <row r="241" ht="15" customFormat="1" customHeight="1" s="17">
      <c r="A241" s="17" t="n"/>
      <c r="B241" s="17" t="inlineStr">
        <is>
          <t>Dye-sensitized</t>
        </is>
      </c>
      <c r="C241" s="17" t="n">
        <v>2.05</v>
      </c>
      <c r="D241" s="17" t="n">
        <v>3.9</v>
      </c>
      <c r="E241" s="20" t="n">
        <v>680</v>
      </c>
      <c r="F241" s="17" t="n">
        <v>7.4</v>
      </c>
      <c r="G241" s="17" t="n">
        <v>77.5</v>
      </c>
      <c r="H241" s="17" t="inlineStr">
        <is>
          <t>AN-12</t>
        </is>
      </c>
      <c r="I241" s="17" t="b">
        <v>0</v>
      </c>
      <c r="J241" s="17">
        <f>HYPERLINK("https://doi.org/10.1039/C7TA09322E","Tsai (2018)")</f>
        <v/>
      </c>
      <c r="K241" s="17" t="b">
        <v>0</v>
      </c>
      <c r="L241" s="17" t="b">
        <v>0</v>
      </c>
      <c r="M241" s="17" t="b">
        <v>0</v>
      </c>
      <c r="N241" s="17" t="b">
        <v>0</v>
      </c>
    </row>
    <row r="242" ht="15" customFormat="1" customHeight="1" s="17">
      <c r="A242" s="17" t="n"/>
      <c r="B242" s="17" t="inlineStr">
        <is>
          <t>Dye-sensitized</t>
        </is>
      </c>
      <c r="C242" s="17" t="n">
        <v>2.09</v>
      </c>
      <c r="D242" s="17" t="n">
        <v>6.9</v>
      </c>
      <c r="E242" s="20" t="n">
        <v>780</v>
      </c>
      <c r="F242" s="17" t="n">
        <v>11.6</v>
      </c>
      <c r="G242" s="17" t="n">
        <v>76.3</v>
      </c>
      <c r="H242" s="17" t="inlineStr">
        <is>
          <t>TY3</t>
        </is>
      </c>
      <c r="I242" s="17" t="b">
        <v>0</v>
      </c>
      <c r="J242" s="17">
        <f>HYPERLINK("https://doi.org/10.1002/aenm.201700032","Tingare (2017)")</f>
        <v/>
      </c>
      <c r="K242" s="17" t="b">
        <v>0</v>
      </c>
      <c r="L242" s="17" t="b">
        <v>0</v>
      </c>
      <c r="M242" s="17" t="b">
        <v>0</v>
      </c>
      <c r="N242" s="17" t="b">
        <v>0</v>
      </c>
    </row>
    <row r="243" ht="15" customFormat="1" customHeight="1" s="17">
      <c r="A243" s="17" t="n"/>
      <c r="B243" s="17" t="inlineStr">
        <is>
          <t>Dye-sensitized</t>
        </is>
      </c>
      <c r="C243" s="17" t="n">
        <v>2.12</v>
      </c>
      <c r="D243" s="17" t="n">
        <v>5.8</v>
      </c>
      <c r="E243" s="20" t="n">
        <v>739</v>
      </c>
      <c r="F243" s="17" t="n">
        <v>10.8</v>
      </c>
      <c r="G243" s="17" t="n">
        <v>72.7</v>
      </c>
      <c r="H243" s="17" t="inlineStr">
        <is>
          <t>CW10</t>
        </is>
      </c>
      <c r="I243" s="17" t="b">
        <v>0</v>
      </c>
      <c r="J243" s="17">
        <f>HYPERLINK("https://doi.org/10.1021/acsami.7b12960","Reddy (2018)")</f>
        <v/>
      </c>
      <c r="K243" s="17" t="b">
        <v>0</v>
      </c>
      <c r="L243" s="17" t="b">
        <v>0</v>
      </c>
      <c r="M243" s="17" t="b">
        <v>0</v>
      </c>
      <c r="N243" s="17" t="b">
        <v>0</v>
      </c>
    </row>
    <row r="244" ht="15" customFormat="1" customHeight="1" s="17">
      <c r="A244" s="17" t="n"/>
      <c r="B244" s="17" t="inlineStr">
        <is>
          <t>Dye-sensitized</t>
        </is>
      </c>
      <c r="C244" s="17" t="n">
        <v>2.23</v>
      </c>
      <c r="D244" s="17" t="n">
        <v>5.8</v>
      </c>
      <c r="E244" s="20" t="n">
        <v>760</v>
      </c>
      <c r="F244" s="17" t="n">
        <v>10.2</v>
      </c>
      <c r="G244" s="17" t="n">
        <v>74.8</v>
      </c>
      <c r="H244" s="17" t="inlineStr">
        <is>
          <t>MS3</t>
        </is>
      </c>
      <c r="I244" s="17" t="b">
        <v>0</v>
      </c>
      <c r="J244" s="17">
        <f>HYPERLINK("https://doi.org/10.1002/aenm.201700032","Tingare (2017)")</f>
        <v/>
      </c>
      <c r="K244" s="17" t="b">
        <v>0</v>
      </c>
      <c r="L244" s="17" t="b">
        <v>0</v>
      </c>
      <c r="M244" s="17" t="b">
        <v>0</v>
      </c>
      <c r="N244" s="17" t="b">
        <v>0</v>
      </c>
    </row>
    <row r="245" ht="15" customFormat="1" customHeight="1" s="17">
      <c r="A245" s="17" t="n"/>
      <c r="B245" s="17" t="inlineStr">
        <is>
          <t>Dye-sensitized</t>
        </is>
      </c>
      <c r="C245" s="17" t="n">
        <v>2.32</v>
      </c>
      <c r="D245" s="17" t="n">
        <v>5.3</v>
      </c>
      <c r="E245" s="20" t="n">
        <v>1170</v>
      </c>
      <c r="F245" s="17" t="n">
        <v>6.4</v>
      </c>
      <c r="G245" s="17" t="n">
        <v>70.8</v>
      </c>
      <c r="H245" s="17" t="inlineStr">
        <is>
          <t>L348</t>
        </is>
      </c>
      <c r="I245" s="17" t="b">
        <v>0</v>
      </c>
      <c r="J245" s="17">
        <f>HYPERLINK("https://doi.org/10.1002/ange.201808609","Liu (2018)")</f>
        <v/>
      </c>
      <c r="K245" s="17" t="b">
        <v>0</v>
      </c>
      <c r="L245" s="17" t="b">
        <v>0</v>
      </c>
      <c r="M245" s="17" t="b">
        <v>0</v>
      </c>
      <c r="N245" s="17" t="b">
        <v>0</v>
      </c>
    </row>
    <row r="246" ht="15" customFormat="1" customHeight="1" s="17">
      <c r="A246" s="17" t="n"/>
      <c r="B246" s="17" t="inlineStr">
        <is>
          <t>Dye-sensitized</t>
        </is>
      </c>
      <c r="C246" s="17" t="n">
        <v>1.66</v>
      </c>
      <c r="D246" s="17" t="n">
        <v>13</v>
      </c>
      <c r="E246" s="20" t="n">
        <v>910</v>
      </c>
      <c r="F246" s="17" t="n">
        <v>18.1</v>
      </c>
      <c r="G246" s="17" t="n">
        <v>78</v>
      </c>
      <c r="H246" s="17" t="inlineStr">
        <is>
          <t>SM315</t>
        </is>
      </c>
      <c r="I246" s="17" t="b">
        <v>0</v>
      </c>
      <c r="J246" s="17">
        <f>HYPERLINK("https://doi.org/10.1038/nchem.1861","Mathew (2014)")</f>
        <v/>
      </c>
      <c r="K246" s="17" t="b">
        <v>0</v>
      </c>
      <c r="L246" s="17" t="b">
        <v>0</v>
      </c>
      <c r="M246" s="17" t="b">
        <v>0</v>
      </c>
      <c r="N246" s="17" t="b">
        <v>0</v>
      </c>
    </row>
    <row r="247" ht="15" customFormat="1" customHeight="1" s="17">
      <c r="A247" s="17" t="n"/>
      <c r="B247" s="17" t="inlineStr">
        <is>
          <t>Dye-sensitized</t>
        </is>
      </c>
      <c r="C247" s="17" t="n">
        <v>1.79</v>
      </c>
      <c r="D247" s="17" t="n">
        <v>9.9</v>
      </c>
      <c r="E247" s="20" t="n">
        <v>740</v>
      </c>
      <c r="F247" s="17" t="n">
        <v>19</v>
      </c>
      <c r="G247" s="17" t="n">
        <v>71</v>
      </c>
      <c r="H247" s="17" t="inlineStr">
        <is>
          <t>PI-COF:N719</t>
        </is>
      </c>
      <c r="I247" s="17" t="b">
        <v>0</v>
      </c>
      <c r="J247" s="17">
        <f>HYPERLINK("https://doi.org/10.1021/acsami.2c04507","Chang (2022)")</f>
        <v/>
      </c>
      <c r="K247" s="17" t="b">
        <v>0</v>
      </c>
      <c r="L247" s="17" t="b">
        <v>0</v>
      </c>
      <c r="M247" s="17" t="b">
        <v>0</v>
      </c>
      <c r="N247" s="17" t="b">
        <v>0</v>
      </c>
    </row>
    <row r="248" ht="15" customFormat="1" customHeight="1" s="17">
      <c r="A248" s="17" t="n"/>
      <c r="B248" s="17" t="inlineStr">
        <is>
          <t>Dye-sensitized</t>
        </is>
      </c>
      <c r="C248" s="17" t="n">
        <v>1.81</v>
      </c>
      <c r="D248" s="17" t="n">
        <v>8.5</v>
      </c>
      <c r="E248" s="20" t="n">
        <v>700</v>
      </c>
      <c r="F248" s="17" t="n">
        <v>19.4</v>
      </c>
      <c r="G248" s="17" t="n">
        <v>62.6</v>
      </c>
      <c r="H248" s="17" t="inlineStr">
        <is>
          <t>N719</t>
        </is>
      </c>
      <c r="I248" s="17" t="b">
        <v>0</v>
      </c>
      <c r="J248" s="17">
        <f>HYPERLINK("https://doi.org/10.1016/j.cej.2022.136777","Bharwal (2022)")</f>
        <v/>
      </c>
      <c r="K248" s="17" t="b">
        <v>0</v>
      </c>
      <c r="L248" s="17" t="b">
        <v>0</v>
      </c>
      <c r="M248" s="17" t="b">
        <v>0</v>
      </c>
      <c r="N248" s="17" t="b">
        <v>0</v>
      </c>
    </row>
    <row r="249" ht="15" customFormat="1" customHeight="1" s="17">
      <c r="A249" s="17" t="n"/>
      <c r="B249" s="17" t="inlineStr">
        <is>
          <t>Dye-sensitized</t>
        </is>
      </c>
      <c r="C249" s="17" t="n">
        <v>2.15</v>
      </c>
      <c r="D249" s="17" t="n">
        <v>4.1</v>
      </c>
      <c r="E249" s="20" t="n">
        <v>640</v>
      </c>
      <c r="F249" s="17" t="n">
        <v>8.800000000000001</v>
      </c>
      <c r="G249" s="17" t="n">
        <v>73.59999999999999</v>
      </c>
      <c r="H249" s="17" t="inlineStr">
        <is>
          <t>PS1</t>
        </is>
      </c>
      <c r="I249" s="17" t="b">
        <v>0</v>
      </c>
      <c r="J249" s="17">
        <f>HYPERLINK("https://doi.org/10.1016/j.solener.2022.05.043","Liao (2022)")</f>
        <v/>
      </c>
      <c r="K249" s="17" t="b">
        <v>0</v>
      </c>
      <c r="L249" s="17" t="b">
        <v>0</v>
      </c>
      <c r="M249" s="17" t="b">
        <v>0</v>
      </c>
      <c r="N249" s="17" t="b">
        <v>0</v>
      </c>
    </row>
    <row r="250" ht="15" customFormat="1" customHeight="1" s="17">
      <c r="A250" s="17" t="n"/>
      <c r="B250" s="17" t="inlineStr">
        <is>
          <t>Dye-sensitized</t>
        </is>
      </c>
      <c r="C250" s="17" t="n">
        <v>1.83</v>
      </c>
      <c r="D250" s="17" t="n">
        <v>15.2</v>
      </c>
      <c r="E250" s="20" t="n">
        <v>1060</v>
      </c>
      <c r="F250" s="17" t="n">
        <v>18</v>
      </c>
      <c r="G250" s="17" t="n">
        <v>79.40000000000001</v>
      </c>
      <c r="H250" s="17" t="inlineStr">
        <is>
          <t>SL9 + SL10/BPHA</t>
        </is>
      </c>
      <c r="I250" s="17" t="b">
        <v>1</v>
      </c>
      <c r="J250" s="17">
        <f>HYPERLINK("https://doi.org/10.1038/s41586-022-05460-z","Ren (2023)")</f>
        <v/>
      </c>
      <c r="K250" s="17" t="b">
        <v>0</v>
      </c>
      <c r="L250" s="17" t="b">
        <v>0</v>
      </c>
      <c r="M250" s="17" t="b">
        <v>0</v>
      </c>
      <c r="N250" s="17" t="b">
        <v>0</v>
      </c>
    </row>
    <row r="251" ht="15" customFormat="1" customHeight="1" s="17">
      <c r="A251" s="17" t="n"/>
      <c r="B251" s="17" t="inlineStr">
        <is>
          <t>Dye-sensitized</t>
        </is>
      </c>
      <c r="C251" s="17" t="n">
        <v>1.72</v>
      </c>
      <c r="D251" s="17" t="n">
        <v>4.2</v>
      </c>
      <c r="E251" s="20" t="n">
        <v>503</v>
      </c>
      <c r="F251" s="17" t="n">
        <v>12.7</v>
      </c>
      <c r="G251" s="17" t="n">
        <v>64.90000000000001</v>
      </c>
      <c r="H251" s="17" t="inlineStr">
        <is>
          <t>NP2</t>
        </is>
      </c>
      <c r="I251" s="17" t="b">
        <v>0</v>
      </c>
      <c r="J251" s="17">
        <f>HYPERLINK("https://doi.org/10.1002/aenm.202203651","Mwalukuku (2023)")</f>
        <v/>
      </c>
      <c r="K251" s="17" t="b">
        <v>0</v>
      </c>
      <c r="L251" s="17" t="b">
        <v>0</v>
      </c>
      <c r="M251" s="17" t="b">
        <v>0</v>
      </c>
      <c r="N251" s="17" t="b">
        <v>0</v>
      </c>
    </row>
    <row r="252" ht="15" customFormat="1" customHeight="1" s="17">
      <c r="A252" s="17" t="n"/>
      <c r="B252" s="17" t="inlineStr">
        <is>
          <t>Dye-sensitized</t>
        </is>
      </c>
      <c r="C252" s="17" t="n">
        <v>1.85</v>
      </c>
      <c r="D252" s="17" t="n">
        <v>13</v>
      </c>
      <c r="E252" s="20" t="n">
        <v>1040</v>
      </c>
      <c r="F252" s="17" t="n">
        <v>15.6</v>
      </c>
      <c r="G252" s="17" t="n">
        <v>80.40000000000001</v>
      </c>
      <c r="H252" s="17" t="inlineStr">
        <is>
          <t>N.A.</t>
        </is>
      </c>
      <c r="I252" s="17" t="b">
        <v>1</v>
      </c>
      <c r="J252" s="17">
        <f>HYPERLINK("https://doi.org/10.1002/pip.3726","Green (2023)")</f>
        <v/>
      </c>
      <c r="K252" s="17" t="b">
        <v>1</v>
      </c>
      <c r="L252" s="17" t="b">
        <v>0</v>
      </c>
      <c r="M252" s="17" t="b">
        <v>0</v>
      </c>
      <c r="N252" s="17" t="b">
        <v>0</v>
      </c>
    </row>
    <row r="253" ht="15" customFormat="1" customHeight="1" s="17">
      <c r="A253" s="17" t="n"/>
      <c r="B253" s="17" t="inlineStr">
        <is>
          <t>Dye-sensitized</t>
        </is>
      </c>
      <c r="C253" s="17" t="n">
        <v>1.61</v>
      </c>
      <c r="D253" s="17" t="n">
        <v>11.4</v>
      </c>
      <c r="E253" s="20" t="n">
        <v>864</v>
      </c>
      <c r="F253" s="17" t="n">
        <v>17.3</v>
      </c>
      <c r="G253" s="17" t="n">
        <v>75.8</v>
      </c>
      <c r="H253" s="17" t="inlineStr">
        <is>
          <t>YS7</t>
        </is>
      </c>
      <c r="I253" s="17" t="b">
        <v>0</v>
      </c>
      <c r="J253" s="17">
        <f>HYPERLINK("https://doi.org/10.1002/aenm.202300353","Chen (2023)")</f>
        <v/>
      </c>
      <c r="K253" s="17" t="b">
        <v>0</v>
      </c>
      <c r="L253" s="17" t="b">
        <v>0</v>
      </c>
      <c r="M253" s="17" t="b">
        <v>0</v>
      </c>
      <c r="N253" s="17" t="b">
        <v>0</v>
      </c>
    </row>
    <row r="254" ht="15" customFormat="1" customHeight="1" s="17">
      <c r="A254" s="17" t="n"/>
      <c r="B254" s="17" t="inlineStr">
        <is>
          <t>Dye-sensitized</t>
        </is>
      </c>
      <c r="C254" s="17" t="n">
        <v>1.65</v>
      </c>
      <c r="D254" s="17" t="n">
        <v>13.1</v>
      </c>
      <c r="E254" s="20" t="n">
        <v>889</v>
      </c>
      <c r="F254" s="17" t="n">
        <v>19.1</v>
      </c>
      <c r="G254" s="17" t="n">
        <v>77.5</v>
      </c>
      <c r="H254" s="17" t="inlineStr">
        <is>
          <t>SGT-021/HC-A6+ThCA</t>
        </is>
      </c>
      <c r="I254" s="17" t="b">
        <v>0</v>
      </c>
      <c r="J254" s="17">
        <f>HYPERLINK("https://doi.org/10.1021/acsami.3c09228","Zhou (2023)")</f>
        <v/>
      </c>
      <c r="K254" s="17" t="b">
        <v>0</v>
      </c>
      <c r="L254" s="17" t="b">
        <v>0</v>
      </c>
      <c r="M254" s="17" t="b">
        <v>0</v>
      </c>
      <c r="N254" s="17" t="b">
        <v>0</v>
      </c>
    </row>
    <row r="255" ht="15" customFormat="1" customHeight="1" s="17">
      <c r="A255" s="17" t="n"/>
      <c r="B255" s="17" t="inlineStr">
        <is>
          <t>Kesterite</t>
        </is>
      </c>
      <c r="C255" s="17" t="n">
        <v>1.07</v>
      </c>
      <c r="D255" s="17" t="n">
        <v>12.5</v>
      </c>
      <c r="E255" s="20" t="n">
        <v>491</v>
      </c>
      <c r="F255" s="17" t="n">
        <v>37.4</v>
      </c>
      <c r="G255" s="17" t="n">
        <v>68.2</v>
      </c>
      <c r="H255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ZnSnSe</t>
          </r>
          <r>
            <rPr>
              <rFont val="Calibri"/>
              <sz val="11"/>
              <vertAlign val="subscript"/>
            </rPr>
            <t>4</t>
          </r>
        </is>
      </c>
      <c r="I255" s="17" t="b">
        <v>0</v>
      </c>
      <c r="J255" s="17">
        <f>HYPERLINK("https://doi.org/10.1002/adma.202005268","Li (2020)")</f>
        <v/>
      </c>
      <c r="K255" s="17" t="b">
        <v>0</v>
      </c>
      <c r="L255" s="17" t="b">
        <v>0</v>
      </c>
      <c r="M255" s="17" t="b">
        <v>0</v>
      </c>
      <c r="N255" s="17" t="b">
        <v>0</v>
      </c>
    </row>
    <row r="256" ht="15" customFormat="1" customHeight="1" s="17">
      <c r="A256" s="17" t="n"/>
      <c r="B256" s="17" t="inlineStr">
        <is>
          <t>Kesterite</t>
        </is>
      </c>
      <c r="C256" s="17" t="n">
        <v>1.12</v>
      </c>
      <c r="D256" s="17" t="n">
        <v>12.3</v>
      </c>
      <c r="E256" s="20" t="n">
        <v>527</v>
      </c>
      <c r="F256" s="17" t="n">
        <v>32.3</v>
      </c>
      <c r="G256" s="17" t="n">
        <v>72.3</v>
      </c>
      <c r="H256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Zn(Sn</t>
          </r>
          <r>
            <rPr>
              <rFont val="Calibri"/>
              <sz val="11"/>
              <vertAlign val="subscript"/>
            </rPr>
            <t>0.78</t>
          </r>
          <r>
            <rPr>
              <rFont val="Calibri"/>
              <sz val="11"/>
            </rPr>
            <t>Ge</t>
          </r>
          <r>
            <rPr>
              <rFont val="Calibri"/>
              <sz val="11"/>
              <vertAlign val="subscript"/>
            </rPr>
            <t>0.22</t>
          </r>
          <r>
            <rPr>
              <rFont val="Calibri"/>
              <sz val="11"/>
            </rPr>
            <t>)Se</t>
          </r>
          <r>
            <rPr>
              <rFont val="Calibri"/>
              <sz val="11"/>
              <vertAlign val="subscript"/>
            </rPr>
            <t>4</t>
          </r>
        </is>
      </c>
      <c r="I256" s="17" t="b">
        <v>0</v>
      </c>
      <c r="J256" s="17">
        <f>HYPERLINK("https://doi.org/10.7567/APEX.9.102301","Kim (2016)")</f>
        <v/>
      </c>
      <c r="K256" s="17" t="b">
        <v>0</v>
      </c>
      <c r="L256" s="17" t="b">
        <v>0</v>
      </c>
      <c r="M256" s="17" t="b">
        <v>0</v>
      </c>
      <c r="N256" s="17" t="b">
        <v>0</v>
      </c>
    </row>
    <row r="257" ht="15" customFormat="1" customHeight="1" s="17">
      <c r="A257" s="17" t="n"/>
      <c r="B257" s="17" t="inlineStr">
        <is>
          <t>Kesterite</t>
        </is>
      </c>
      <c r="C257" s="17" t="n">
        <v>1.03</v>
      </c>
      <c r="D257" s="17" t="n">
        <v>11.6</v>
      </c>
      <c r="E257" s="20" t="n">
        <v>423</v>
      </c>
      <c r="F257" s="17" t="n">
        <v>40.6</v>
      </c>
      <c r="G257" s="17" t="n">
        <v>67.5</v>
      </c>
      <c r="H257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ZnSnSe</t>
          </r>
          <r>
            <rPr>
              <rFont val="Calibri"/>
              <sz val="11"/>
              <vertAlign val="subscript"/>
            </rPr>
            <t>4</t>
          </r>
        </is>
      </c>
      <c r="I257" s="17" t="b">
        <v>0</v>
      </c>
      <c r="J257" s="17">
        <f>HYPERLINK("https://doi.org/10.1002/aenm.201401372","Lee (2015)")</f>
        <v/>
      </c>
      <c r="K257" s="17" t="b">
        <v>0</v>
      </c>
      <c r="L257" s="17" t="b">
        <v>0</v>
      </c>
      <c r="M257" s="17" t="b">
        <v>0</v>
      </c>
      <c r="N257" s="17" t="b">
        <v>0</v>
      </c>
    </row>
    <row r="258" ht="15" customFormat="1" customHeight="1" s="17">
      <c r="A258" s="17" t="n"/>
      <c r="B258" s="17" t="inlineStr">
        <is>
          <t>Kesterite</t>
        </is>
      </c>
      <c r="C258" s="17" t="n">
        <v>1.02</v>
      </c>
      <c r="D258" s="17" t="n">
        <v>11.6</v>
      </c>
      <c r="E258" s="20" t="n">
        <v>441</v>
      </c>
      <c r="F258" s="17" t="n">
        <v>39.2</v>
      </c>
      <c r="G258" s="17" t="n">
        <v>67.09999999999999</v>
      </c>
      <c r="H258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ZnSnSe</t>
          </r>
          <r>
            <rPr>
              <rFont val="Calibri"/>
              <sz val="11"/>
              <vertAlign val="subscript"/>
            </rPr>
            <t>4</t>
          </r>
        </is>
      </c>
      <c r="I258" s="17" t="b">
        <v>0</v>
      </c>
      <c r="J258" s="17">
        <f>HYPERLINK("https://doi.org/10.1002/solr.202000693","Li (2021)")</f>
        <v/>
      </c>
      <c r="K258" s="17" t="b">
        <v>0</v>
      </c>
      <c r="L258" s="17" t="b">
        <v>0</v>
      </c>
      <c r="M258" s="17" t="b">
        <v>0</v>
      </c>
      <c r="N258" s="17" t="b">
        <v>0</v>
      </c>
    </row>
    <row r="259" ht="15" customFormat="1" customHeight="1" s="17">
      <c r="A259" s="17" t="n"/>
      <c r="B259" s="17" t="inlineStr">
        <is>
          <t>Kesterite</t>
        </is>
      </c>
      <c r="C259" s="17" t="n">
        <v>0.98</v>
      </c>
      <c r="D259" s="17" t="n">
        <v>11.2</v>
      </c>
      <c r="E259" s="20" t="n">
        <v>430</v>
      </c>
      <c r="F259" s="17" t="n">
        <v>39.2</v>
      </c>
      <c r="G259" s="17" t="n">
        <v>66.40000000000001</v>
      </c>
      <c r="H259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ZnSn(Se,S)</t>
          </r>
          <r>
            <rPr>
              <rFont val="Calibri"/>
              <sz val="11"/>
              <vertAlign val="subscript"/>
            </rPr>
            <t>4</t>
          </r>
        </is>
      </c>
      <c r="I259" s="17" t="b">
        <v>0</v>
      </c>
      <c r="J259" s="17">
        <f>HYPERLINK("https://doi.org/10.1016/j.solmat.2017.09.043","Sun (2018)")</f>
        <v/>
      </c>
      <c r="K259" s="17" t="b">
        <v>0</v>
      </c>
      <c r="L259" s="17" t="b">
        <v>0</v>
      </c>
      <c r="M259" s="17" t="b">
        <v>0</v>
      </c>
      <c r="N259" s="17" t="b">
        <v>0</v>
      </c>
    </row>
    <row r="260" ht="15" customFormat="1" customHeight="1" s="17">
      <c r="A260" s="17" t="n"/>
      <c r="B260" s="17" t="inlineStr">
        <is>
          <t>Kesterite</t>
        </is>
      </c>
      <c r="C260" s="17" t="n">
        <v>1.5</v>
      </c>
      <c r="D260" s="17" t="n">
        <v>11</v>
      </c>
      <c r="E260" s="20" t="n">
        <v>731</v>
      </c>
      <c r="F260" s="17" t="n">
        <v>21.7</v>
      </c>
      <c r="G260" s="17" t="n">
        <v>69.3</v>
      </c>
      <c r="H260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260" s="17" t="b">
        <v>0</v>
      </c>
      <c r="J260" s="17">
        <f>HYPERLINK("https://doi.org/10.1038/s41560-018-0206-0","Yan (2018)")</f>
        <v/>
      </c>
      <c r="K260" s="17" t="b">
        <v>0</v>
      </c>
      <c r="L260" s="17" t="b">
        <v>0</v>
      </c>
      <c r="M260" s="17" t="b">
        <v>0</v>
      </c>
      <c r="N260" s="17" t="b">
        <v>0</v>
      </c>
    </row>
    <row r="261" ht="15" customFormat="1" customHeight="1" s="17">
      <c r="A261" s="17" t="n"/>
      <c r="B261" s="17" t="inlineStr">
        <is>
          <t>Kesterite</t>
        </is>
      </c>
      <c r="C261" s="17" t="n">
        <v>1.52</v>
      </c>
      <c r="D261" s="17" t="n">
        <v>8.699999999999999</v>
      </c>
      <c r="E261" s="20" t="n">
        <v>664</v>
      </c>
      <c r="F261" s="17" t="n">
        <v>20.6</v>
      </c>
      <c r="G261" s="17" t="n">
        <v>63.9</v>
      </c>
      <c r="H261" s="17" t="inlineStr">
        <is>
          <t>(Cu1 x- Agx)1.85(Zn0.8Cd0.2)1.1SnS4; x=0.01</t>
        </is>
      </c>
      <c r="I261" s="17" t="b">
        <v>0</v>
      </c>
      <c r="J261" s="17">
        <f>HYPERLINK("https://doi.org/10.1039/C9TA07768E","Timmo (2019)")</f>
        <v/>
      </c>
      <c r="K261" s="17" t="b">
        <v>0</v>
      </c>
      <c r="L261" s="17" t="b">
        <v>1</v>
      </c>
      <c r="M261" s="17" t="b">
        <v>0</v>
      </c>
      <c r="N261" s="17" t="b">
        <v>0</v>
      </c>
    </row>
    <row r="262" ht="15" customFormat="1" customHeight="1" s="17">
      <c r="A262" s="17" t="n"/>
      <c r="B262" s="17" t="inlineStr">
        <is>
          <t>Kesterite</t>
        </is>
      </c>
      <c r="C262" s="17" t="n">
        <v>1.45</v>
      </c>
      <c r="D262" s="17" t="n">
        <v>8.5</v>
      </c>
      <c r="E262" s="20" t="n">
        <v>625</v>
      </c>
      <c r="F262" s="17" t="n">
        <v>24.4</v>
      </c>
      <c r="G262" s="17" t="n">
        <v>55.7</v>
      </c>
      <c r="H262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ZnGeSe</t>
          </r>
          <r>
            <rPr>
              <rFont val="Calibri"/>
              <sz val="11"/>
              <vertAlign val="subscript"/>
            </rPr>
            <t>4</t>
          </r>
        </is>
      </c>
      <c r="I262" s="17" t="b">
        <v>0</v>
      </c>
      <c r="J262" s="17">
        <f>HYPERLINK("https://doi.org/10.1021/acsaem.0c00763","Choubrac (2020)")</f>
        <v/>
      </c>
      <c r="K262" s="17" t="b">
        <v>0</v>
      </c>
      <c r="L262" s="17" t="b">
        <v>0</v>
      </c>
      <c r="M262" s="17" t="b">
        <v>0</v>
      </c>
      <c r="N262" s="17" t="b">
        <v>0</v>
      </c>
    </row>
    <row r="263" ht="15" customFormat="1" customHeight="1" s="17">
      <c r="A263" s="17" t="n"/>
      <c r="B263" s="17" t="inlineStr">
        <is>
          <t>Kesterite</t>
        </is>
      </c>
      <c r="C263" s="17" t="n">
        <v>1.55</v>
      </c>
      <c r="D263" s="17" t="n">
        <v>10.2</v>
      </c>
      <c r="E263" s="20" t="n">
        <v>736</v>
      </c>
      <c r="F263" s="17" t="n">
        <v>21</v>
      </c>
      <c r="G263" s="17" t="n">
        <v>66</v>
      </c>
      <c r="H263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263" s="17" t="b">
        <v>0</v>
      </c>
      <c r="J263" s="17">
        <f>HYPERLINK("https://doi.org/10.1039/C9EE01726G","Cui (2019)")</f>
        <v/>
      </c>
      <c r="K263" s="17" t="b">
        <v>0</v>
      </c>
      <c r="L263" s="17" t="b">
        <v>0</v>
      </c>
      <c r="M263" s="17" t="b">
        <v>0</v>
      </c>
      <c r="N263" s="17" t="b">
        <v>0</v>
      </c>
    </row>
    <row r="264" ht="15" customFormat="1" customHeight="1" s="17">
      <c r="A264" s="17" t="n"/>
      <c r="B264" s="17" t="inlineStr">
        <is>
          <t>Kesterite</t>
        </is>
      </c>
      <c r="C264" s="17" t="n">
        <v>1.19</v>
      </c>
      <c r="D264" s="17" t="n">
        <v>9.800000000000001</v>
      </c>
      <c r="E264" s="20" t="n">
        <v>537</v>
      </c>
      <c r="F264" s="17" t="n">
        <v>32.6</v>
      </c>
      <c r="G264" s="17" t="n">
        <v>56.3</v>
      </c>
      <c r="H264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64" s="17" t="b">
        <v>0</v>
      </c>
      <c r="J264" s="17">
        <f>HYPERLINK("https://doi.org/10.1016/j.optmat.2023.113444","Zhang (2023)")</f>
        <v/>
      </c>
      <c r="K264" s="17" t="b">
        <v>0</v>
      </c>
      <c r="L264" s="17" t="b">
        <v>0</v>
      </c>
      <c r="M264" s="17" t="b">
        <v>0</v>
      </c>
      <c r="N264" s="17" t="b">
        <v>0</v>
      </c>
    </row>
    <row r="265" ht="15" customFormat="1" customHeight="1" s="17">
      <c r="A265" s="17" t="n"/>
      <c r="B265" s="17" t="inlineStr">
        <is>
          <t>Kesterite</t>
        </is>
      </c>
      <c r="C265" s="17" t="n">
        <v>1.59</v>
      </c>
      <c r="D265" s="17" t="n">
        <v>11.4</v>
      </c>
      <c r="E265" s="20" t="n">
        <v>746</v>
      </c>
      <c r="F265" s="17" t="n">
        <v>21.8</v>
      </c>
      <c r="G265" s="17" t="n">
        <v>70.09999999999999</v>
      </c>
      <c r="H265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265" s="17" t="b">
        <v>1</v>
      </c>
      <c r="J265" s="17">
        <f>HYPERLINK("https://doi.org/10.1002/pip.3726","Green (2023)")</f>
        <v/>
      </c>
      <c r="K265" s="17" t="b">
        <v>1</v>
      </c>
      <c r="L265" s="17" t="b">
        <v>0</v>
      </c>
      <c r="M265" s="17" t="b">
        <v>0</v>
      </c>
      <c r="N265" s="17" t="b">
        <v>0</v>
      </c>
    </row>
    <row r="266" ht="15" customFormat="1" customHeight="1" s="17">
      <c r="A266" s="17" t="n"/>
      <c r="B266" s="17" t="inlineStr">
        <is>
          <t>Kesterite</t>
        </is>
      </c>
      <c r="C266" s="17" t="n">
        <v>1.16</v>
      </c>
      <c r="D266" s="17" t="n">
        <v>12.9</v>
      </c>
      <c r="E266" s="20" t="n">
        <v>546</v>
      </c>
      <c r="F266" s="17" t="n">
        <v>35.9</v>
      </c>
      <c r="G266" s="17" t="n">
        <v>65.8</v>
      </c>
      <c r="H266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66" s="17" t="b">
        <v>0</v>
      </c>
      <c r="J266" s="17">
        <f>HYPERLINK("https://doi.org/10.1002/aenm.202300521","Yu (2023)")</f>
        <v/>
      </c>
      <c r="K266" s="17" t="b">
        <v>0</v>
      </c>
      <c r="L266" s="17" t="b">
        <v>0</v>
      </c>
      <c r="M266" s="17" t="b">
        <v>0</v>
      </c>
      <c r="N266" s="17" t="b">
        <v>0</v>
      </c>
    </row>
    <row r="267" ht="15" customFormat="1" customHeight="1" s="17">
      <c r="A267" s="17" t="n"/>
      <c r="B267" s="17" t="inlineStr">
        <is>
          <t>Kesterite</t>
        </is>
      </c>
      <c r="C267" s="17" t="n">
        <v>1.08</v>
      </c>
      <c r="D267" s="17" t="n">
        <v>14.1</v>
      </c>
      <c r="E267" s="20" t="n">
        <v>551</v>
      </c>
      <c r="F267" s="17" t="n">
        <v>35.7</v>
      </c>
      <c r="G267" s="17" t="n">
        <v>71.8</v>
      </c>
      <c r="H267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67" s="17" t="b">
        <v>0</v>
      </c>
      <c r="J267" s="17">
        <f>HYPERLINK("https://doi.org/10.1038/s41560-023-01251-6","Zhou (2023)")</f>
        <v/>
      </c>
      <c r="K267" s="17" t="b">
        <v>0</v>
      </c>
      <c r="L267" s="17" t="b">
        <v>0</v>
      </c>
      <c r="M267" s="17" t="b">
        <v>0</v>
      </c>
      <c r="N267" s="17" t="b">
        <v>0</v>
      </c>
    </row>
    <row r="268" ht="15" customFormat="1" customHeight="1" s="17">
      <c r="A268" s="17" t="n"/>
      <c r="B268" s="17" t="inlineStr">
        <is>
          <t>Kesterite</t>
        </is>
      </c>
      <c r="C268" s="17" t="n">
        <v>1.09</v>
      </c>
      <c r="D268" s="17" t="n">
        <v>14.9</v>
      </c>
      <c r="E268" s="20" t="n">
        <v>555</v>
      </c>
      <c r="F268" s="17" t="n">
        <v>36.9</v>
      </c>
      <c r="G268" s="17" t="n">
        <v>72.7</v>
      </c>
      <c r="H268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68" s="17" t="b">
        <v>1</v>
      </c>
      <c r="J268" s="17">
        <f>HYPERLINK("https://doi.org/10.1002/pip.3726","Green (2023)")</f>
        <v/>
      </c>
      <c r="K268" s="17" t="b">
        <v>1</v>
      </c>
      <c r="L268" s="17" t="b">
        <v>0</v>
      </c>
      <c r="M268" s="17" t="b">
        <v>0</v>
      </c>
      <c r="N268" s="17" t="b">
        <v>0</v>
      </c>
    </row>
    <row r="269" ht="15" customFormat="1" customHeight="1" s="17">
      <c r="A269" s="17" t="n"/>
      <c r="B269" s="17" t="inlineStr">
        <is>
          <t>Kesterite</t>
        </is>
      </c>
      <c r="C269" s="17" t="n">
        <v>1.06</v>
      </c>
      <c r="D269" s="17" t="n">
        <v>13.8</v>
      </c>
      <c r="E269" s="20" t="n">
        <v>526</v>
      </c>
      <c r="F269" s="17" t="n">
        <v>39.3</v>
      </c>
      <c r="G269" s="17" t="n">
        <v>66.59999999999999</v>
      </c>
      <c r="H269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69" s="17" t="b">
        <v>0</v>
      </c>
      <c r="J269" s="17">
        <f>HYPERLINK("https://doi.org/10.1002/smtd.202400041","Jian (2024)")</f>
        <v/>
      </c>
      <c r="K269" s="17" t="b">
        <v>0</v>
      </c>
      <c r="L269" s="17" t="b">
        <v>0</v>
      </c>
      <c r="M269" s="17" t="b">
        <v>0</v>
      </c>
      <c r="N269" s="17" t="b">
        <v>0</v>
      </c>
    </row>
    <row r="270" ht="15" customFormat="1" customHeight="1" s="17">
      <c r="A270" s="17" t="n"/>
      <c r="B270" s="17" t="inlineStr">
        <is>
          <t>Kesterite</t>
        </is>
      </c>
      <c r="C270" s="17" t="n">
        <v>1.05</v>
      </c>
      <c r="D270" s="17" t="n">
        <v>13.8</v>
      </c>
      <c r="E270" s="20" t="n">
        <v>514</v>
      </c>
      <c r="F270" s="17" t="n">
        <v>38.7</v>
      </c>
      <c r="G270" s="17" t="n">
        <v>69.40000000000001</v>
      </c>
      <c r="H270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70" s="17" t="b">
        <v>0</v>
      </c>
      <c r="J270" s="17">
        <f>HYPERLINK("https://doi.org/10.1002/adma.202311918","Cao (2024)")</f>
        <v/>
      </c>
      <c r="K270" s="17" t="b">
        <v>0</v>
      </c>
      <c r="L270" s="17" t="b">
        <v>0</v>
      </c>
      <c r="M270" s="17" t="b">
        <v>0</v>
      </c>
      <c r="N270" s="17" t="b">
        <v>0</v>
      </c>
    </row>
    <row r="271" ht="15" customFormat="1" customHeight="1" s="17">
      <c r="A271" s="17" t="n"/>
      <c r="B271" s="17" t="inlineStr">
        <is>
          <t>Kesterite</t>
        </is>
      </c>
      <c r="C271" s="17" t="n">
        <v>1.59</v>
      </c>
      <c r="D271" s="17" t="n">
        <v>10.7</v>
      </c>
      <c r="E271" s="20" t="n">
        <v>800</v>
      </c>
      <c r="F271" s="17" t="n">
        <v>21</v>
      </c>
      <c r="G271" s="17" t="n">
        <v>63.7</v>
      </c>
      <c r="H271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271" s="17" t="b">
        <v>0</v>
      </c>
      <c r="J271" s="17">
        <f>HYPERLINK("https://doi.org/10.1002/adma.202307733","Wang (2024)")</f>
        <v/>
      </c>
      <c r="K271" s="17" t="b">
        <v>0</v>
      </c>
      <c r="L271" s="17" t="b">
        <v>0</v>
      </c>
      <c r="M271" s="17" t="b">
        <v>0</v>
      </c>
      <c r="N271" s="17" t="b">
        <v>0</v>
      </c>
    </row>
    <row r="272" ht="15" customFormat="1" customHeight="1" s="17">
      <c r="A272" s="17" t="n"/>
      <c r="B272" s="17" t="inlineStr">
        <is>
          <t>Kesterite</t>
        </is>
      </c>
      <c r="C272" s="17" t="n">
        <v>1.14</v>
      </c>
      <c r="D272" s="17" t="n">
        <v>13.3</v>
      </c>
      <c r="E272" s="20" t="n">
        <v>531</v>
      </c>
      <c r="F272" s="17" t="n">
        <v>37.8</v>
      </c>
      <c r="G272" s="17" t="n">
        <v>66.3</v>
      </c>
      <c r="H272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72" s="17" t="b">
        <v>0</v>
      </c>
      <c r="J272" s="17">
        <f>HYPERLINK("https://doi.org/10.1002/smll.202401330","Li (2024)")</f>
        <v/>
      </c>
      <c r="K272" s="17" t="b">
        <v>0</v>
      </c>
      <c r="L272" s="17" t="b">
        <v>0</v>
      </c>
      <c r="M272" s="17" t="b">
        <v>0</v>
      </c>
      <c r="N272" s="17" t="b">
        <v>0</v>
      </c>
    </row>
    <row r="273" ht="15" customFormat="1" customHeight="1" s="17">
      <c r="A273" s="17" t="n"/>
      <c r="B273" s="17" t="inlineStr">
        <is>
          <t>Kesterite</t>
        </is>
      </c>
      <c r="C273" s="17" t="n">
        <v>1.18</v>
      </c>
      <c r="D273" s="17" t="n">
        <v>13.3</v>
      </c>
      <c r="E273" s="20" t="n">
        <v>546</v>
      </c>
      <c r="F273" s="17" t="n">
        <v>36.9</v>
      </c>
      <c r="G273" s="17" t="n">
        <v>66.09999999999999</v>
      </c>
      <c r="H273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73" s="17" t="b">
        <v>0</v>
      </c>
      <c r="J273" s="17">
        <f>HYPERLINK("https://doi.org/10.1016/j.nanoen.2024.109448","Chen (2024)")</f>
        <v/>
      </c>
      <c r="K273" s="17" t="b">
        <v>0</v>
      </c>
      <c r="L273" s="17" t="b">
        <v>0</v>
      </c>
      <c r="M273" s="17" t="b">
        <v>0</v>
      </c>
      <c r="N273" s="17" t="b">
        <v>0</v>
      </c>
    </row>
    <row r="274" ht="15" customFormat="1" customHeight="1" s="17">
      <c r="A274" s="17" t="n"/>
      <c r="B274" s="17" t="inlineStr">
        <is>
          <t>Kesterite</t>
        </is>
      </c>
      <c r="C274" s="17" t="n">
        <v>1.1</v>
      </c>
      <c r="D274" s="17" t="n">
        <v>14</v>
      </c>
      <c r="E274" s="20" t="n">
        <v>542</v>
      </c>
      <c r="F274" s="17" t="n">
        <v>39.1</v>
      </c>
      <c r="G274" s="17" t="n">
        <v>66.09999999999999</v>
      </c>
      <c r="H274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74" s="17" t="b">
        <v>0</v>
      </c>
      <c r="J274" s="17">
        <f>HYPERLINK("https://doi.org/10.1002/smll.202308266","Wei (2024)")</f>
        <v/>
      </c>
      <c r="K274" s="17" t="b">
        <v>0</v>
      </c>
      <c r="L274" s="17" t="b">
        <v>0</v>
      </c>
      <c r="M274" s="17" t="b">
        <v>0</v>
      </c>
      <c r="N274" s="17" t="b">
        <v>0</v>
      </c>
    </row>
    <row r="275" ht="15" customFormat="1" customHeight="1" s="17">
      <c r="A275" s="17" t="n"/>
      <c r="B275" s="17" t="inlineStr">
        <is>
          <t>Kesterite</t>
        </is>
      </c>
      <c r="C275" s="17" t="n">
        <v>1.37</v>
      </c>
      <c r="D275" s="17" t="n">
        <v>12.3</v>
      </c>
      <c r="E275" s="20" t="n">
        <v>668</v>
      </c>
      <c r="F275" s="17" t="n">
        <v>27.1</v>
      </c>
      <c r="G275" s="17" t="n">
        <v>67.90000000000001</v>
      </c>
      <c r="H275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275" s="17" t="b">
        <v>0</v>
      </c>
      <c r="J275" s="17">
        <f>HYPERLINK("https://doi.org/10.1002/aenm.202301780","Pan (2023)")</f>
        <v/>
      </c>
      <c r="K275" s="17" t="b">
        <v>0</v>
      </c>
      <c r="L275" s="17" t="b">
        <v>0</v>
      </c>
      <c r="M275" s="17" t="b">
        <v>0</v>
      </c>
      <c r="N275" s="17" t="b">
        <v>0</v>
      </c>
    </row>
    <row r="276" ht="15" customFormat="1" customHeight="1" s="17">
      <c r="A276" s="17" t="n"/>
      <c r="B276" s="17" t="inlineStr">
        <is>
          <t>Kesterite</t>
        </is>
      </c>
      <c r="C276" s="17" t="n">
        <v>1.16</v>
      </c>
      <c r="D276" s="17" t="n">
        <v>12.9</v>
      </c>
      <c r="E276" s="20" t="n">
        <v>494</v>
      </c>
      <c r="F276" s="17" t="n">
        <v>38.2</v>
      </c>
      <c r="G276" s="17" t="n">
        <v>68.40000000000001</v>
      </c>
      <c r="H276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76" s="17" t="b">
        <v>0</v>
      </c>
      <c r="J276" s="17">
        <f>HYPERLINK("https://doi.org/10.1002/smll.202304866","Cao (2024)")</f>
        <v/>
      </c>
      <c r="K276" s="17" t="b">
        <v>0</v>
      </c>
      <c r="L276" s="17" t="b">
        <v>0</v>
      </c>
      <c r="M276" s="17" t="b">
        <v>0</v>
      </c>
      <c r="N276" s="17" t="b">
        <v>0</v>
      </c>
    </row>
    <row r="277" ht="15" customFormat="1" customHeight="1" s="17">
      <c r="A277" s="17" t="n"/>
      <c r="B277" s="17" t="inlineStr">
        <is>
          <t>Kesterite</t>
        </is>
      </c>
      <c r="C277" s="17" t="n">
        <v>1.2</v>
      </c>
      <c r="D277" s="17" t="n">
        <v>13.7</v>
      </c>
      <c r="E277" s="20" t="n">
        <v>544</v>
      </c>
      <c r="F277" s="17" t="n">
        <v>36.7</v>
      </c>
      <c r="G277" s="17" t="n">
        <v>68.59999999999999</v>
      </c>
      <c r="H277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77" s="17" t="b">
        <v>0</v>
      </c>
      <c r="J277" s="17">
        <f>HYPERLINK("https://doi.org/10.1002/adfm.202311992","Zhao (2024)")</f>
        <v/>
      </c>
      <c r="K277" s="17" t="b">
        <v>0</v>
      </c>
      <c r="L277" s="17" t="b">
        <v>0</v>
      </c>
      <c r="M277" s="17" t="b">
        <v>0</v>
      </c>
      <c r="N277" s="17" t="b">
        <v>0</v>
      </c>
    </row>
    <row r="278" ht="15" customFormat="1" customHeight="1" s="17">
      <c r="A278" s="17" t="n"/>
      <c r="B278" s="17" t="inlineStr">
        <is>
          <t>Kesterite</t>
        </is>
      </c>
      <c r="C278" s="17" t="n">
        <v>1.52</v>
      </c>
      <c r="D278" s="17" t="n">
        <v>12.1</v>
      </c>
      <c r="E278" s="20" t="n">
        <v>749</v>
      </c>
      <c r="F278" s="17" t="n">
        <v>23.4</v>
      </c>
      <c r="G278" s="17" t="n">
        <v>69</v>
      </c>
      <c r="H278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278" s="17" t="b">
        <v>1</v>
      </c>
      <c r="J278" s="17">
        <f>HYPERLINK("https://doi.org/10.1002/pip.3831","Green (2024)")</f>
        <v/>
      </c>
      <c r="K278" s="17" t="b">
        <v>1</v>
      </c>
      <c r="L278" s="17" t="b">
        <v>0</v>
      </c>
      <c r="M278" s="17" t="b">
        <v>0</v>
      </c>
      <c r="N278" s="17" t="b">
        <v>0</v>
      </c>
    </row>
    <row r="279" ht="15" customFormat="1" customHeight="1" s="17">
      <c r="A279" s="17" t="n"/>
      <c r="B279" s="17" t="inlineStr">
        <is>
          <t>Kesterite</t>
        </is>
      </c>
      <c r="C279" s="17" t="n">
        <v>1.15</v>
      </c>
      <c r="D279" s="17" t="n">
        <v>14.1</v>
      </c>
      <c r="E279" s="20" t="n">
        <v>573</v>
      </c>
      <c r="F279" s="17" t="n">
        <v>35.1</v>
      </c>
      <c r="G279" s="17" t="n">
        <v>70.09999999999999</v>
      </c>
      <c r="H279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79" s="17" t="b">
        <v>0</v>
      </c>
      <c r="J279" s="17">
        <f>HYPERLINK("https://doi.org/10.1002/adfm.202404669","Gong (2024)")</f>
        <v/>
      </c>
      <c r="K279" s="17" t="b">
        <v>0</v>
      </c>
      <c r="L279" s="17" t="b">
        <v>0</v>
      </c>
      <c r="M279" s="17" t="b">
        <v>0</v>
      </c>
      <c r="N279" s="17" t="b">
        <v>0</v>
      </c>
    </row>
    <row r="280" ht="15" customFormat="1" customHeight="1" s="17">
      <c r="A280" s="17" t="n"/>
      <c r="B280" s="17" t="inlineStr">
        <is>
          <t>Kesterite</t>
        </is>
      </c>
      <c r="C280" s="17" t="n">
        <v>1.1</v>
      </c>
      <c r="D280" s="17" t="n">
        <v>14.1</v>
      </c>
      <c r="E280" s="20" t="n">
        <v>565</v>
      </c>
      <c r="F280" s="17" t="n">
        <v>35.4</v>
      </c>
      <c r="G280" s="17" t="n">
        <v>70.5</v>
      </c>
      <c r="H280" s="17" t="inlineStr">
        <is>
          <r>
            <rPr>
              <rFont val="Calibri"/>
              <sz val="11"/>
            </rPr>
            <t>(Ag,Cu)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80" s="17" t="b">
        <v>0</v>
      </c>
      <c r="J280" s="17">
        <f>HYPERLINK("https://doi.org/10.1021/acsenergylett.3c01329","Lou (2023)")</f>
        <v/>
      </c>
      <c r="K280" s="17" t="b">
        <v>0</v>
      </c>
      <c r="L280" s="17" t="b">
        <v>0</v>
      </c>
      <c r="M280" s="17" t="b">
        <v>0</v>
      </c>
      <c r="N280" s="17" t="b">
        <v>0</v>
      </c>
    </row>
    <row r="281" ht="15" customFormat="1" customHeight="1" s="17">
      <c r="A281" s="17" t="n"/>
      <c r="B281" s="17" t="inlineStr">
        <is>
          <t>Kesterite</t>
        </is>
      </c>
      <c r="C281" s="17" t="n">
        <v>1.11</v>
      </c>
      <c r="D281" s="17" t="n">
        <v>15.8</v>
      </c>
      <c r="E281" s="20" t="n">
        <v>554</v>
      </c>
      <c r="F281" s="17" t="n">
        <v>38.1</v>
      </c>
      <c r="G281" s="17" t="n">
        <v>74.8</v>
      </c>
      <c r="H281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81" s="17" t="b">
        <v>1</v>
      </c>
      <c r="J281" s="17">
        <f>HYPERLINK("https://doi.org/10.1002/pip.3919","Green (2025)")</f>
        <v/>
      </c>
      <c r="K281" s="17" t="b">
        <v>1</v>
      </c>
      <c r="L281" s="17" t="b">
        <v>0</v>
      </c>
      <c r="M281" s="17" t="b">
        <v>0</v>
      </c>
      <c r="N281" s="17" t="b">
        <v>0</v>
      </c>
    </row>
    <row r="282" ht="15" customFormat="1" customHeight="1" s="17">
      <c r="A282" s="17" t="n"/>
      <c r="B282" s="17" t="inlineStr">
        <is>
          <t>Kesterite</t>
        </is>
      </c>
      <c r="C282" s="17" t="n">
        <v>1.13</v>
      </c>
      <c r="D282" s="17" t="n">
        <v>15</v>
      </c>
      <c r="E282" s="20" t="n">
        <v>560</v>
      </c>
      <c r="F282" s="17" t="n">
        <v>37.4</v>
      </c>
      <c r="G282" s="17" t="n">
        <v>71.7</v>
      </c>
      <c r="H282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82" s="17" t="b">
        <v>0</v>
      </c>
      <c r="J282" s="17">
        <f>HYPERLINK("https://doi.org/10.1021/acsenergylett.5c01007","Yao (2025)")</f>
        <v/>
      </c>
      <c r="K282" s="17" t="b">
        <v>0</v>
      </c>
      <c r="L282" s="17" t="b">
        <v>0</v>
      </c>
      <c r="M282" s="17" t="b">
        <v>0</v>
      </c>
      <c r="N282" s="17" t="b">
        <v>0</v>
      </c>
    </row>
    <row r="283" ht="15" customFormat="1" customHeight="1" s="17">
      <c r="A283" s="17" t="n"/>
      <c r="B283" s="17" t="inlineStr">
        <is>
          <t>Kesterite</t>
        </is>
      </c>
      <c r="C283" s="17" t="n">
        <v>1.5</v>
      </c>
      <c r="D283" s="17" t="n">
        <v>11.5</v>
      </c>
      <c r="E283" s="20" t="n">
        <v>709</v>
      </c>
      <c r="F283" s="17" t="n">
        <v>24.2</v>
      </c>
      <c r="G283" s="17" t="n">
        <v>67.2</v>
      </c>
      <c r="H283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ZnSnS</t>
          </r>
          <r>
            <rPr>
              <rFont val="Calibri"/>
              <sz val="11"/>
              <vertAlign val="subscript"/>
            </rPr>
            <t>4</t>
          </r>
        </is>
      </c>
      <c r="I283" s="17" t="b">
        <v>0</v>
      </c>
      <c r="J283" s="17">
        <f>HYPERLINK("https://doi.org/10.1038/s41560-025-01756-2","Wu (2025)")</f>
        <v/>
      </c>
      <c r="K283" s="17" t="b">
        <v>0</v>
      </c>
      <c r="L283" s="17" t="b">
        <v>0</v>
      </c>
      <c r="M283" s="17" t="b">
        <v>0</v>
      </c>
      <c r="N283" s="17" t="b">
        <v>0</v>
      </c>
    </row>
    <row r="284" ht="15" customFormat="1" customHeight="1" s="17">
      <c r="A284" s="17" t="n"/>
      <c r="B284" s="17" t="inlineStr">
        <is>
          <t>Kesterite</t>
        </is>
      </c>
      <c r="C284" s="17" t="n">
        <v>1.11</v>
      </c>
      <c r="D284" s="17" t="n">
        <v>15.8</v>
      </c>
      <c r="E284" s="20" t="n">
        <v>554</v>
      </c>
      <c r="F284" s="17" t="n">
        <v>38.1</v>
      </c>
      <c r="G284" s="17" t="n">
        <v>74.8</v>
      </c>
      <c r="H284" s="17" t="inlineStr">
        <is>
          <r>
            <rPr>
              <rFont val="Calibri"/>
              <sz val="11"/>
            </rPr>
            <t>Cu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ZnSn(S,Se)</t>
          </r>
          <r>
            <rPr>
              <rFont val="Calibri"/>
              <sz val="11"/>
              <vertAlign val="subscript"/>
            </rPr>
            <t>4</t>
          </r>
        </is>
      </c>
      <c r="I284" s="17" t="b">
        <v>1</v>
      </c>
      <c r="J284" s="17">
        <f>HYPERLINK("https://doi.org/10.1002/pip.3919","Green (2025)")</f>
        <v/>
      </c>
      <c r="K284" s="17" t="b">
        <v>1</v>
      </c>
      <c r="L284" s="17" t="b">
        <v>0</v>
      </c>
      <c r="M284" s="17" t="b">
        <v>0</v>
      </c>
      <c r="N284" s="17" t="b">
        <v>0</v>
      </c>
    </row>
    <row r="285" ht="15" customFormat="1" customHeight="1" s="17">
      <c r="A285" s="17" t="n"/>
      <c r="B285" s="17" t="inlineStr">
        <is>
          <t>Sb-chalcogenide</t>
        </is>
      </c>
      <c r="C285" s="17" t="n">
        <v>1.55</v>
      </c>
      <c r="D285" s="17" t="n">
        <v>10.5</v>
      </c>
      <c r="E285" s="20" t="n">
        <v>664</v>
      </c>
      <c r="F285" s="17" t="n">
        <v>23.8</v>
      </c>
      <c r="G285" s="17" t="n">
        <v>66.3</v>
      </c>
      <c r="H285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I285" s="17" t="b">
        <v>0</v>
      </c>
      <c r="J285" s="17">
        <f>HYPERLINK("https://doi.org/10.1002/aenm.202002341","Wang (2020)")</f>
        <v/>
      </c>
      <c r="K285" s="17" t="b">
        <v>0</v>
      </c>
      <c r="L285" s="17" t="b">
        <v>0</v>
      </c>
      <c r="M285" s="17" t="n"/>
      <c r="N285" s="17" t="n"/>
    </row>
    <row r="286" ht="15" customFormat="1" customHeight="1" s="17">
      <c r="A286" s="17" t="n"/>
      <c r="B286" s="17" t="inlineStr">
        <is>
          <t>Sb-chalcogenide</t>
        </is>
      </c>
      <c r="C286" s="17" t="n">
        <v>1.54</v>
      </c>
      <c r="D286" s="17" t="n">
        <v>9.699999999999999</v>
      </c>
      <c r="E286" s="20" t="n">
        <v>638</v>
      </c>
      <c r="F286" s="17" t="n">
        <v>23.2</v>
      </c>
      <c r="G286" s="17" t="n">
        <v>65.5</v>
      </c>
      <c r="H286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I286" s="17" t="b">
        <v>0</v>
      </c>
      <c r="J286" s="17">
        <f>HYPERLINK("https://doi.org/10.1002/adma.202106118","Xiong (2022)")</f>
        <v/>
      </c>
      <c r="K286" s="17" t="b">
        <v>0</v>
      </c>
      <c r="L286" s="17" t="b">
        <v>0</v>
      </c>
      <c r="M286" s="17" t="n"/>
      <c r="N286" s="17" t="n"/>
    </row>
    <row r="287" ht="15" customFormat="1" customHeight="1" s="17">
      <c r="A287" s="17" t="n"/>
      <c r="B287" s="17" t="inlineStr">
        <is>
          <t>Sb-chalcogenide</t>
        </is>
      </c>
      <c r="C287" s="17" t="n">
        <v>1.8</v>
      </c>
      <c r="D287" s="17" t="n">
        <v>7.5</v>
      </c>
      <c r="E287" s="20" t="n">
        <v>711</v>
      </c>
      <c r="F287" s="17" t="n">
        <v>16.1</v>
      </c>
      <c r="G287" s="17" t="n">
        <v>65</v>
      </c>
      <c r="H287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</t>
          </r>
          <r>
            <rPr>
              <rFont val="Calibri"/>
              <sz val="11"/>
              <vertAlign val="subscript"/>
            </rPr>
            <t>3</t>
          </r>
        </is>
      </c>
      <c r="I287" s="17" t="b">
        <v>0</v>
      </c>
      <c r="J287" s="17">
        <f>HYPERLINK("https://doi.org/10.1002/adfm.201304238","Choi (2014)")</f>
        <v/>
      </c>
      <c r="K287" s="17" t="b">
        <v>0</v>
      </c>
      <c r="L287" s="17" t="b">
        <v>0</v>
      </c>
      <c r="M287" s="17" t="n"/>
      <c r="N287" s="17" t="n"/>
    </row>
    <row r="288" ht="15" customFormat="1" customHeight="1" s="17">
      <c r="A288" s="17" t="n"/>
      <c r="B288" s="17" t="inlineStr">
        <is>
          <t>Sb-chalcogenide</t>
        </is>
      </c>
      <c r="C288" s="17" t="n">
        <v>1.22</v>
      </c>
      <c r="D288" s="17" t="n">
        <v>7.5</v>
      </c>
      <c r="E288" s="20" t="n">
        <v>413</v>
      </c>
      <c r="F288" s="17" t="n">
        <v>28.9</v>
      </c>
      <c r="G288" s="17" t="n">
        <v>62.4</v>
      </c>
      <c r="H288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88" s="17" t="b">
        <v>0</v>
      </c>
      <c r="J288" s="17">
        <f>HYPERLINK("https://doi.org/10.1002/advs.202001013","Shen (2020)")</f>
        <v/>
      </c>
      <c r="K288" s="17" t="b">
        <v>0</v>
      </c>
      <c r="L288" s="17" t="b">
        <v>0</v>
      </c>
      <c r="M288" s="17" t="n"/>
      <c r="N288" s="17" t="n"/>
    </row>
    <row r="289" ht="15" customFormat="1" customHeight="1" s="17">
      <c r="A289" s="17" t="n"/>
      <c r="B289" s="17" t="inlineStr">
        <is>
          <t>Sb-chalcogenide</t>
        </is>
      </c>
      <c r="C289" s="17" t="n">
        <v>1.33</v>
      </c>
      <c r="D289" s="17" t="n">
        <v>6.4</v>
      </c>
      <c r="E289" s="20" t="n">
        <v>421</v>
      </c>
      <c r="F289" s="17" t="n">
        <v>27.8</v>
      </c>
      <c r="G289" s="17" t="n">
        <v>54.7</v>
      </c>
      <c r="H289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89" s="17" t="b">
        <v>0</v>
      </c>
      <c r="J289" s="17">
        <f>HYPERLINK("https://doi.org/10.1002/solr.202000693","Li (2021)")</f>
        <v/>
      </c>
      <c r="K289" s="17" t="b">
        <v>0</v>
      </c>
      <c r="L289" s="17" t="b">
        <v>0</v>
      </c>
      <c r="M289" s="17" t="n"/>
      <c r="N289" s="17" t="n"/>
    </row>
    <row r="290" ht="15" customFormat="1" customHeight="1" s="17">
      <c r="A290" s="17" t="n"/>
      <c r="B290" s="17" t="inlineStr">
        <is>
          <t>Sb-chalcogenide</t>
        </is>
      </c>
      <c r="C290" s="17" t="n">
        <v>1.27</v>
      </c>
      <c r="D290" s="17" t="n">
        <v>4.8</v>
      </c>
      <c r="E290" s="20" t="n">
        <v>370</v>
      </c>
      <c r="F290" s="17" t="n">
        <v>27.3</v>
      </c>
      <c r="G290" s="17" t="n">
        <v>47.3</v>
      </c>
      <c r="H290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90" s="17" t="b">
        <v>0</v>
      </c>
      <c r="J290" s="17">
        <f>HYPERLINK("https://doi.org/10.1038/s41467-018-07903-6","Li (2019)")</f>
        <v/>
      </c>
      <c r="K290" s="17" t="b">
        <v>0</v>
      </c>
      <c r="L290" s="17" t="b">
        <v>0</v>
      </c>
      <c r="M290" s="17" t="n"/>
      <c r="N290" s="17" t="n"/>
    </row>
    <row r="291" ht="15" customFormat="1" customHeight="1" s="17">
      <c r="A291" s="17" t="n"/>
      <c r="B291" s="17" t="inlineStr">
        <is>
          <t>Sb-chalcogenide</t>
        </is>
      </c>
      <c r="C291" s="17" t="n">
        <v>1.29</v>
      </c>
      <c r="D291" s="17" t="n">
        <v>4</v>
      </c>
      <c r="E291" s="20" t="n">
        <v>340</v>
      </c>
      <c r="F291" s="17" t="n">
        <v>22.9</v>
      </c>
      <c r="G291" s="17" t="n">
        <v>51</v>
      </c>
      <c r="H291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91" s="17" t="b">
        <v>0</v>
      </c>
      <c r="J291" s="17">
        <f>HYPERLINK("https://doi.org/10.1016/j.matlet.2020.128770","Wen (2021)")</f>
        <v/>
      </c>
      <c r="K291" s="17" t="b">
        <v>0</v>
      </c>
      <c r="L291" s="17" t="b">
        <v>0</v>
      </c>
      <c r="M291" s="17" t="n"/>
      <c r="N291" s="17" t="n"/>
    </row>
    <row r="292" ht="15" customFormat="1" customHeight="1" s="17">
      <c r="A292" s="17" t="n"/>
      <c r="B292" s="17" t="inlineStr">
        <is>
          <t>Sb-chalcogenide</t>
        </is>
      </c>
      <c r="C292" s="17" t="n">
        <v>1.53</v>
      </c>
      <c r="D292" s="17" t="n">
        <v>8.5</v>
      </c>
      <c r="E292" s="20" t="n">
        <v>670</v>
      </c>
      <c r="F292" s="17" t="n">
        <v>20.4</v>
      </c>
      <c r="G292" s="17" t="n">
        <v>62.1</v>
      </c>
      <c r="H292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 Se)</t>
          </r>
          <r>
            <rPr>
              <rFont val="Calibri"/>
              <sz val="11"/>
              <vertAlign val="subscript"/>
            </rPr>
            <t>3</t>
          </r>
        </is>
      </c>
      <c r="I292" s="17" t="b">
        <v>0</v>
      </c>
      <c r="J292" s="17">
        <f>HYPERLINK("https://doi.org/10.1002/solr.202201009","Rijal (2023)")</f>
        <v/>
      </c>
      <c r="K292" s="17" t="b">
        <v>0</v>
      </c>
      <c r="L292" s="17" t="b">
        <v>0</v>
      </c>
      <c r="M292" s="17" t="n"/>
      <c r="N292" s="17" t="n"/>
    </row>
    <row r="293" ht="15" customFormat="1" customHeight="1" s="17">
      <c r="A293" s="17" t="n"/>
      <c r="B293" s="17" t="inlineStr">
        <is>
          <t>Sb-chalcogenide</t>
        </is>
      </c>
      <c r="C293" s="17" t="n">
        <v>1.35</v>
      </c>
      <c r="D293" s="17" t="n">
        <v>10.1</v>
      </c>
      <c r="E293" s="20" t="n">
        <v>551</v>
      </c>
      <c r="F293" s="17" t="n">
        <v>26</v>
      </c>
      <c r="G293" s="17" t="n">
        <v>70.09999999999999</v>
      </c>
      <c r="H293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 Se)</t>
          </r>
          <r>
            <rPr>
              <rFont val="Calibri"/>
              <sz val="11"/>
              <vertAlign val="subscript"/>
            </rPr>
            <t>3</t>
          </r>
        </is>
      </c>
      <c r="I293" s="17" t="b">
        <v>0</v>
      </c>
      <c r="J293" s="17">
        <f>HYPERLINK("https://doi.org/10.1002/smll.202206175","Dong (2023)")</f>
        <v/>
      </c>
      <c r="K293" s="17" t="b">
        <v>0</v>
      </c>
      <c r="L293" s="17" t="b">
        <v>0</v>
      </c>
      <c r="M293" s="17" t="n"/>
      <c r="N293" s="17" t="n"/>
    </row>
    <row r="294" ht="15" customFormat="1" customHeight="1" s="17">
      <c r="A294" s="17" t="n"/>
      <c r="B294" s="17" t="inlineStr">
        <is>
          <t>Sb-chalcogenide</t>
        </is>
      </c>
      <c r="C294" s="17" t="n">
        <v>1.84</v>
      </c>
      <c r="D294" s="17" t="n">
        <v>4.9</v>
      </c>
      <c r="E294" s="20" t="n">
        <v>680</v>
      </c>
      <c r="F294" s="17" t="n">
        <v>13.7</v>
      </c>
      <c r="G294" s="17" t="n">
        <v>53</v>
      </c>
      <c r="H294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</t>
          </r>
          <r>
            <rPr>
              <rFont val="Calibri"/>
              <sz val="11"/>
              <vertAlign val="subscript"/>
            </rPr>
            <t>3</t>
          </r>
        </is>
      </c>
      <c r="I294" s="17" t="b">
        <v>0</v>
      </c>
      <c r="J294" s="17">
        <f>HYPERLINK("https://doi.org/10.1021/acsaem.2c04097","Mandati (2023)")</f>
        <v/>
      </c>
      <c r="K294" s="17" t="b">
        <v>0</v>
      </c>
      <c r="L294" s="17" t="b">
        <v>0</v>
      </c>
      <c r="M294" s="17" t="n"/>
      <c r="N294" s="17" t="n"/>
    </row>
    <row r="295" ht="15" customFormat="1" customHeight="1" s="17">
      <c r="A295" s="17" t="n"/>
      <c r="B295" s="17" t="inlineStr">
        <is>
          <t>Sb-chalcogenide</t>
        </is>
      </c>
      <c r="C295" s="17" t="n">
        <v>1.23</v>
      </c>
      <c r="D295" s="17" t="n">
        <v>10.6</v>
      </c>
      <c r="E295" s="20" t="n">
        <v>467</v>
      </c>
      <c r="F295" s="17" t="n">
        <v>33.5</v>
      </c>
      <c r="G295" s="17" t="n">
        <v>67.59999999999999</v>
      </c>
      <c r="H295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95" s="17" t="b">
        <v>0</v>
      </c>
      <c r="J295" s="17">
        <f>HYPERLINK("https://doi.org/10.1039/D2EE02261C","Zhao (2022)")</f>
        <v/>
      </c>
      <c r="K295" s="17" t="b">
        <v>0</v>
      </c>
      <c r="L295" s="17" t="b">
        <v>0</v>
      </c>
      <c r="M295" s="17" t="n"/>
      <c r="N295" s="17" t="n"/>
    </row>
    <row r="296" ht="15" customFormat="1" customHeight="1" s="17">
      <c r="A296" s="17" t="n"/>
      <c r="B296" s="17" t="inlineStr">
        <is>
          <t>Sb-chalcogenide</t>
        </is>
      </c>
      <c r="C296" s="17" t="n">
        <v>1.48</v>
      </c>
      <c r="D296" s="17" t="n">
        <v>10.8</v>
      </c>
      <c r="E296" s="20" t="n">
        <v>631</v>
      </c>
      <c r="F296" s="17" t="n">
        <v>25.3</v>
      </c>
      <c r="G296" s="17" t="n">
        <v>67.40000000000001</v>
      </c>
      <c r="H296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 Se)</t>
          </r>
          <r>
            <rPr>
              <rFont val="Calibri"/>
              <sz val="11"/>
              <vertAlign val="subscript"/>
            </rPr>
            <t>3</t>
          </r>
        </is>
      </c>
      <c r="I296" s="17" t="b">
        <v>0</v>
      </c>
      <c r="J296" s="17">
        <f>HYPERLINK("https://doi.org/10.1002/aenm.202300391","Chen (2023)")</f>
        <v/>
      </c>
      <c r="K296" s="17" t="b">
        <v>0</v>
      </c>
      <c r="L296" s="17" t="b">
        <v>0</v>
      </c>
      <c r="M296" s="17" t="n"/>
      <c r="N296" s="17" t="n"/>
    </row>
    <row r="297" ht="15" customFormat="1" customHeight="1" s="17">
      <c r="A297" s="17" t="n"/>
      <c r="B297" s="17" t="inlineStr">
        <is>
          <t>Sb-chalcogenide</t>
        </is>
      </c>
      <c r="C297" s="17" t="n">
        <v>1.38</v>
      </c>
      <c r="D297" s="17" t="n">
        <v>8.1</v>
      </c>
      <c r="E297" s="20" t="n">
        <v>474</v>
      </c>
      <c r="F297" s="17" t="n">
        <v>27.7</v>
      </c>
      <c r="G297" s="17" t="n">
        <v>62.2</v>
      </c>
      <c r="H297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97" s="17" t="b">
        <v>0</v>
      </c>
      <c r="J297" s="17">
        <f>HYPERLINK("https://doi.org/10.1002/smtd.202300728","Liu (2024)")</f>
        <v/>
      </c>
      <c r="K297" s="17" t="b">
        <v>0</v>
      </c>
      <c r="L297" s="17" t="b">
        <v>0</v>
      </c>
      <c r="M297" s="17" t="n"/>
      <c r="N297" s="17" t="n"/>
    </row>
    <row r="298" ht="15" customFormat="1" customHeight="1" s="17">
      <c r="A298" s="17" t="n"/>
      <c r="B298" s="17" t="inlineStr">
        <is>
          <t>Sb-chalcogenide</t>
        </is>
      </c>
      <c r="C298" s="17" t="n">
        <v>1.2</v>
      </c>
      <c r="D298" s="17" t="n">
        <v>8.1</v>
      </c>
      <c r="E298" s="20" t="n">
        <v>432</v>
      </c>
      <c r="F298" s="17" t="n">
        <v>32.5</v>
      </c>
      <c r="G298" s="17" t="n">
        <v>57.9</v>
      </c>
      <c r="H298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98" s="17" t="b">
        <v>0</v>
      </c>
      <c r="J298" s="17">
        <f>HYPERLINK("https://doi.org/10.1002/aenm.202401077","Don (2024)")</f>
        <v/>
      </c>
      <c r="K298" s="17" t="b">
        <v>0</v>
      </c>
      <c r="L298" s="17" t="b">
        <v>0</v>
      </c>
      <c r="M298" s="17" t="n"/>
      <c r="N298" s="17" t="n"/>
    </row>
    <row r="299" ht="15" customFormat="1" customHeight="1" s="17">
      <c r="A299" s="17" t="n"/>
      <c r="B299" s="17" t="inlineStr">
        <is>
          <t>Sb-chalcogenide</t>
        </is>
      </c>
      <c r="C299" s="17" t="n">
        <v>1.31</v>
      </c>
      <c r="D299" s="17" t="n">
        <v>8.6</v>
      </c>
      <c r="E299" s="20" t="n">
        <v>440</v>
      </c>
      <c r="F299" s="17" t="n">
        <v>32.2</v>
      </c>
      <c r="G299" s="17" t="n">
        <v>60.8</v>
      </c>
      <c r="H299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299" s="17" t="b">
        <v>0</v>
      </c>
      <c r="J299" s="17">
        <f>HYPERLINK("https://doi.org/10.1002/adfm.202403934","Chen (2024)")</f>
        <v/>
      </c>
      <c r="K299" s="17" t="b">
        <v>0</v>
      </c>
      <c r="L299" s="17" t="b">
        <v>0</v>
      </c>
      <c r="M299" s="17" t="n"/>
      <c r="N299" s="17" t="n"/>
    </row>
    <row r="300" ht="15" customFormat="1" customHeight="1" s="17">
      <c r="A300" s="17" t="n"/>
      <c r="B300" s="17" t="inlineStr">
        <is>
          <t>Sb-chalcogenide</t>
        </is>
      </c>
      <c r="C300" s="17" t="n">
        <v>1.23</v>
      </c>
      <c r="D300" s="17" t="n">
        <v>7.6</v>
      </c>
      <c r="E300" s="20" t="n">
        <v>410</v>
      </c>
      <c r="F300" s="17" t="n">
        <v>30.5</v>
      </c>
      <c r="G300" s="17" t="n">
        <v>60.5</v>
      </c>
      <c r="H300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300" s="17" t="b">
        <v>0</v>
      </c>
      <c r="J300" s="17">
        <f>HYPERLINK("https://doi.org/10.1002/advs.202304246","Guo (2023)")</f>
        <v/>
      </c>
      <c r="K300" s="17" t="b">
        <v>0</v>
      </c>
      <c r="L300" s="17" t="b">
        <v>0</v>
      </c>
      <c r="M300" s="17" t="n"/>
      <c r="N300" s="17" t="n"/>
    </row>
    <row r="301" ht="15" customFormat="1" customHeight="1" s="17">
      <c r="A301" s="17" t="n"/>
      <c r="B301" s="17" t="inlineStr">
        <is>
          <t>Sb-chalcogenide</t>
        </is>
      </c>
      <c r="C301" s="17" t="n">
        <v>1.36</v>
      </c>
      <c r="D301" s="17" t="n">
        <v>9.199999999999999</v>
      </c>
      <c r="E301" s="20" t="n">
        <v>492</v>
      </c>
      <c r="F301" s="17" t="n">
        <v>29.5</v>
      </c>
      <c r="G301" s="17" t="n">
        <v>63.7</v>
      </c>
      <c r="H301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4</t>
          </r>
        </is>
      </c>
      <c r="I301" s="17" t="b">
        <v>0</v>
      </c>
      <c r="J301" s="17">
        <f>HYPERLINK("https://doi.org/10.1002/adma.202308522","Chen (2024)")</f>
        <v/>
      </c>
      <c r="K301" s="17" t="b">
        <v>0</v>
      </c>
      <c r="L301" s="17" t="b">
        <v>0</v>
      </c>
      <c r="M301" s="17" t="n"/>
      <c r="N301" s="17" t="n"/>
    </row>
    <row r="302" ht="15" customFormat="1" customHeight="1" s="17">
      <c r="A302" s="17" t="n"/>
      <c r="B302" s="17" t="inlineStr">
        <is>
          <t>Sb-chalcogenide</t>
        </is>
      </c>
      <c r="C302" s="17" t="n">
        <v>1.24</v>
      </c>
      <c r="D302" s="17" t="n">
        <v>10.2</v>
      </c>
      <c r="E302" s="20" t="n">
        <v>477</v>
      </c>
      <c r="F302" s="17" t="n">
        <v>30.6</v>
      </c>
      <c r="G302" s="17" t="n">
        <v>69.59999999999999</v>
      </c>
      <c r="H302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302" s="17" t="b">
        <v>1</v>
      </c>
      <c r="J302" s="17">
        <f>HYPERLINK("https://doi.org/10.1039/D4EE02877E","Liang (2024)")</f>
        <v/>
      </c>
      <c r="K302" s="17" t="b">
        <v>1</v>
      </c>
      <c r="L302" s="17" t="b">
        <v>0</v>
      </c>
      <c r="M302" s="17" t="n"/>
      <c r="N302" s="17" t="n"/>
    </row>
    <row r="303" ht="15" customFormat="1" customHeight="1" s="17">
      <c r="A303" s="17" t="n"/>
      <c r="B303" s="17" t="inlineStr">
        <is>
          <t>Sb-chalcogenide</t>
        </is>
      </c>
      <c r="C303" s="17" t="n">
        <v>1.3</v>
      </c>
      <c r="D303" s="17" t="n">
        <v>10.7</v>
      </c>
      <c r="E303" s="20" t="n">
        <v>576</v>
      </c>
      <c r="F303" s="17" t="n">
        <v>26.9</v>
      </c>
      <c r="G303" s="17" t="n">
        <v>69</v>
      </c>
      <c r="H303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 xml:space="preserve"> (S,Se)</t>
          </r>
          <r>
            <rPr>
              <rFont val="Calibri"/>
              <sz val="11"/>
              <vertAlign val="subscript"/>
            </rPr>
            <t>3</t>
          </r>
        </is>
      </c>
      <c r="I303" s="17" t="b">
        <v>1</v>
      </c>
      <c r="J303" s="17">
        <f>HYPERLINK("https://doi.org/10.1038/s41560-025-01792-y","Dong (2025)")</f>
        <v/>
      </c>
      <c r="K303" s="17" t="b">
        <v>1</v>
      </c>
      <c r="L303" s="17" t="b">
        <v>1</v>
      </c>
      <c r="M303" s="17" t="n"/>
      <c r="N303" s="17" t="n"/>
    </row>
    <row r="304" ht="15" customFormat="1" customHeight="1" s="17">
      <c r="A304" s="17" t="n"/>
      <c r="B304" s="17" t="inlineStr">
        <is>
          <t>Sb-chalcogenide</t>
        </is>
      </c>
      <c r="C304" s="17" t="n">
        <v>1.24</v>
      </c>
      <c r="D304" s="17" t="n">
        <v>10.6</v>
      </c>
      <c r="E304" s="20" t="n">
        <v>478</v>
      </c>
      <c r="F304" s="17" t="n">
        <v>31.7</v>
      </c>
      <c r="G304" s="17" t="n">
        <v>69.90000000000001</v>
      </c>
      <c r="H304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Se</t>
          </r>
          <r>
            <rPr>
              <rFont val="Calibri"/>
              <sz val="11"/>
              <vertAlign val="subscript"/>
            </rPr>
            <t>3</t>
          </r>
        </is>
      </c>
      <c r="I304" s="17" t="b">
        <v>0</v>
      </c>
      <c r="J304" s="17">
        <f>HYPERLINK("https://doi.org/10.1039/D4EE02877E","Liang (2024)")</f>
        <v/>
      </c>
      <c r="K304" s="17" t="b">
        <v>0</v>
      </c>
      <c r="L304" s="17" t="b">
        <v>0</v>
      </c>
      <c r="M304" s="17" t="n"/>
      <c r="N304" s="17" t="n"/>
    </row>
    <row r="305" ht="15" customFormat="1" customHeight="1" s="17">
      <c r="A305" s="17" t="n"/>
      <c r="B305" s="17" t="inlineStr">
        <is>
          <t>Sb-chalcogenide</t>
        </is>
      </c>
      <c r="C305" s="17" t="n">
        <v>1.45</v>
      </c>
      <c r="D305" s="17" t="n">
        <v>10.8</v>
      </c>
      <c r="E305" s="20" t="n">
        <v>633</v>
      </c>
      <c r="F305" s="17" t="n">
        <v>24.9</v>
      </c>
      <c r="G305" s="17" t="n">
        <v>68.59999999999999</v>
      </c>
      <c r="H305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I305" s="17" t="b">
        <v>0</v>
      </c>
      <c r="J305" s="17">
        <f>HYPERLINK("https://doi.org/10.1002/adma.202410669","Zhao (2024)")</f>
        <v/>
      </c>
      <c r="K305" s="17" t="b">
        <v>0</v>
      </c>
      <c r="L305" s="17" t="b">
        <v>0</v>
      </c>
      <c r="M305" s="17" t="n"/>
      <c r="N305" s="17" t="n"/>
    </row>
    <row r="306" ht="15" customFormat="1" customHeight="1" s="17">
      <c r="A306" s="17" t="n"/>
      <c r="B306" s="17" t="inlineStr">
        <is>
          <t>Sb-chalcogenide</t>
        </is>
      </c>
      <c r="C306" s="17" t="n">
        <v>1.5</v>
      </c>
      <c r="D306" s="17" t="n">
        <v>10.8</v>
      </c>
      <c r="E306" s="20" t="n">
        <v>673</v>
      </c>
      <c r="F306" s="17" t="n">
        <v>24.5</v>
      </c>
      <c r="G306" s="17" t="n">
        <v>65.40000000000001</v>
      </c>
      <c r="H306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I306" s="17" t="b">
        <v>0</v>
      </c>
      <c r="J306" s="17">
        <f>HYPERLINK("https://doi.org/10.1039/D4EE03135K","Liu (2024)")</f>
        <v/>
      </c>
      <c r="K306" s="17" t="b">
        <v>0</v>
      </c>
      <c r="L306" s="17" t="b">
        <v>0</v>
      </c>
      <c r="M306" s="17" t="n"/>
      <c r="N306" s="17" t="n"/>
    </row>
    <row r="307" ht="15" customFormat="1" customHeight="1" s="17">
      <c r="A307" s="17" t="n"/>
      <c r="B307" s="17" t="inlineStr">
        <is>
          <t>Sb-chalcogenide</t>
        </is>
      </c>
      <c r="C307" s="17" t="n">
        <v>1.57</v>
      </c>
      <c r="D307" s="17" t="n">
        <v>8.300000000000001</v>
      </c>
      <c r="E307" s="20" t="n">
        <v>647</v>
      </c>
      <c r="F307" s="17" t="n">
        <v>20</v>
      </c>
      <c r="G307" s="17" t="n">
        <v>63.7</v>
      </c>
      <c r="H307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I307" s="17" t="b">
        <v>0</v>
      </c>
      <c r="J307" s="17">
        <f>HYPERLINK("https://doi.org/10.1039/D4EE04699D","Yang (2025)")</f>
        <v/>
      </c>
      <c r="K307" s="17" t="b">
        <v>0</v>
      </c>
      <c r="L307" s="17" t="b">
        <v>0</v>
      </c>
      <c r="M307" s="17" t="n"/>
      <c r="N307" s="17" t="n"/>
    </row>
    <row r="308" ht="15" customFormat="1" customHeight="1" s="17">
      <c r="A308" s="17" t="n"/>
      <c r="B308" s="17" t="inlineStr">
        <is>
          <t>Sb-chalcogenide</t>
        </is>
      </c>
      <c r="C308" s="17" t="n">
        <v>1.5</v>
      </c>
      <c r="D308" s="17" t="n">
        <v>10.8</v>
      </c>
      <c r="E308" s="20" t="n">
        <v>673</v>
      </c>
      <c r="F308" s="17" t="n">
        <v>24.5</v>
      </c>
      <c r="G308" s="17" t="n">
        <v>65.40000000000001</v>
      </c>
      <c r="H308" s="17" t="inlineStr">
        <is>
          <r>
            <rPr>
              <rFont val="Calibri"/>
              <sz val="11"/>
            </rPr>
            <t>Sb</t>
          </r>
          <r>
            <rPr>
              <rFont val="Calibri"/>
              <sz val="11"/>
              <vertAlign val="subscript"/>
            </rPr>
            <t>2</t>
          </r>
          <r>
            <rPr>
              <rFont val="Calibri"/>
              <sz val="11"/>
            </rPr>
            <t>(S,Se)</t>
          </r>
          <r>
            <rPr>
              <rFont val="Calibri"/>
              <sz val="11"/>
              <vertAlign val="subscript"/>
            </rPr>
            <t>3</t>
          </r>
        </is>
      </c>
      <c r="I308" s="17" t="b">
        <v>0</v>
      </c>
      <c r="J308" s="17">
        <f>HYPERLINK("https://doi.org/10.1039/D4EE03135K","Liu (2024)")</f>
        <v/>
      </c>
      <c r="K308" s="17" t="b">
        <v>0</v>
      </c>
      <c r="L308" s="17" t="b">
        <v>0</v>
      </c>
      <c r="M308" s="17" t="n"/>
      <c r="N308" s="17" t="n"/>
    </row>
    <row r="309" ht="15" customFormat="1" customHeight="1" s="17">
      <c r="A309" s="17" t="n"/>
      <c r="B309" s="17" t="inlineStr">
        <is>
          <t>Matildite</t>
        </is>
      </c>
      <c r="C309" s="17" t="n">
        <v>1.41</v>
      </c>
      <c r="D309" s="17" t="n">
        <v>6.3</v>
      </c>
      <c r="E309" s="20" t="n">
        <v>450</v>
      </c>
      <c r="F309" s="17" t="n">
        <v>22.1</v>
      </c>
      <c r="G309" s="17" t="n">
        <v>63</v>
      </c>
      <c r="H309" s="17" t="inlineStr">
        <is>
          <r>
            <rPr>
              <rFont val="Calibri"/>
              <sz val="11"/>
            </rPr>
            <t>AgBiS</t>
          </r>
          <r>
            <rPr>
              <rFont val="Calibri"/>
              <sz val="11"/>
              <vertAlign val="subscript"/>
            </rPr>
            <t>2</t>
          </r>
        </is>
      </c>
      <c r="I309" s="17" t="b">
        <v>0</v>
      </c>
      <c r="J309" s="17">
        <f>HYPERLINK("https://doi.org/10.1038/nphoton.2016.108","Bernechea (2016)")</f>
        <v/>
      </c>
      <c r="K309" s="17" t="b">
        <v>0</v>
      </c>
      <c r="L309" s="17" t="b">
        <v>0</v>
      </c>
      <c r="M309" s="17" t="n"/>
      <c r="N309" s="17" t="n"/>
    </row>
    <row r="310" ht="15" customFormat="1" customHeight="1" s="17">
      <c r="A310" s="17" t="n"/>
      <c r="B310" s="17" t="inlineStr">
        <is>
          <t>Matildite</t>
        </is>
      </c>
      <c r="C310" s="17" t="n">
        <v>1.37</v>
      </c>
      <c r="D310" s="17" t="n">
        <v>7.1</v>
      </c>
      <c r="E310" s="20" t="n">
        <v>480</v>
      </c>
      <c r="F310" s="17" t="n">
        <v>24.7</v>
      </c>
      <c r="G310" s="17" t="n">
        <v>60</v>
      </c>
      <c r="H310" s="17" t="inlineStr">
        <is>
          <r>
            <rPr>
              <rFont val="Calibri"/>
              <sz val="11"/>
            </rPr>
            <t>AgBiS</t>
          </r>
          <r>
            <rPr>
              <rFont val="Calibri"/>
              <sz val="11"/>
              <vertAlign val="subscript"/>
            </rPr>
            <t>2</t>
          </r>
        </is>
      </c>
      <c r="I310" s="17" t="b">
        <v>0</v>
      </c>
      <c r="J310" s="17">
        <f>HYPERLINK("https://doi.org/10.1002/aenm.202200700","Wang (2022)")</f>
        <v/>
      </c>
      <c r="K310" s="17" t="b">
        <v>0</v>
      </c>
      <c r="L310" s="17" t="b">
        <v>0</v>
      </c>
      <c r="M310" s="17" t="n"/>
      <c r="N310" s="17" t="n"/>
    </row>
    <row r="311" ht="15" customFormat="1" customHeight="1" s="17">
      <c r="A311" s="17" t="n"/>
      <c r="B311" s="17" t="inlineStr">
        <is>
          <t>Matildite</t>
        </is>
      </c>
      <c r="C311" s="17" t="n">
        <v>1.39</v>
      </c>
      <c r="D311" s="17" t="n">
        <v>9.199999999999999</v>
      </c>
      <c r="E311" s="20" t="n">
        <v>495</v>
      </c>
      <c r="F311" s="17" t="n">
        <v>27.1</v>
      </c>
      <c r="G311" s="17" t="n">
        <v>68.40000000000001</v>
      </c>
      <c r="H311" s="17" t="inlineStr">
        <is>
          <r>
            <rPr>
              <rFont val="Calibri"/>
              <sz val="11"/>
            </rPr>
            <t>AgBiS</t>
          </r>
          <r>
            <rPr>
              <rFont val="Calibri"/>
              <sz val="11"/>
              <vertAlign val="subscript"/>
            </rPr>
            <t>2</t>
          </r>
        </is>
      </c>
      <c r="I311" s="17" t="b">
        <v>0</v>
      </c>
      <c r="J311" s="17">
        <f>HYPERLINK("https://doi.org/10.1038/s41566-021-00950-4","Wang (2022)")</f>
        <v/>
      </c>
      <c r="K311" s="17" t="b">
        <v>0</v>
      </c>
      <c r="L311" s="17" t="b">
        <v>0</v>
      </c>
      <c r="M311" s="17" t="n"/>
      <c r="N311" s="17" t="n"/>
    </row>
    <row r="312" ht="15" customFormat="1" customHeight="1" s="17">
      <c r="A312" s="17" t="n"/>
      <c r="B312" s="17" t="inlineStr">
        <is>
          <t>Matildite</t>
        </is>
      </c>
      <c r="C312" s="17" t="n">
        <v>1.21</v>
      </c>
      <c r="D312" s="17" t="n">
        <v>3.7</v>
      </c>
      <c r="E312" s="20" t="n">
        <v>280</v>
      </c>
      <c r="F312" s="17" t="n">
        <v>30.9</v>
      </c>
      <c r="G312" s="17" t="n">
        <v>41.9</v>
      </c>
      <c r="H312" s="17" t="inlineStr">
        <is>
          <r>
            <rPr>
              <rFont val="Calibri"/>
              <sz val="11"/>
            </rPr>
            <t>AgBiS</t>
          </r>
          <r>
            <rPr>
              <rFont val="Calibri"/>
              <sz val="11"/>
              <vertAlign val="subscript"/>
            </rPr>
            <t>2</t>
          </r>
        </is>
      </c>
      <c r="I312" s="17" t="b">
        <v>0</v>
      </c>
      <c r="J312" s="17">
        <f>HYPERLINK("https://doi.org/10.1039/D4CE00203B","Li (2024)")</f>
        <v/>
      </c>
      <c r="K312" s="17" t="b">
        <v>0</v>
      </c>
      <c r="L312" s="17" t="b">
        <v>0</v>
      </c>
      <c r="M312" s="17" t="n"/>
      <c r="N312" s="17" t="n"/>
    </row>
    <row r="313" ht="15" customFormat="1" customHeight="1" s="17">
      <c r="A313" s="17" t="n"/>
      <c r="B313" s="17" t="inlineStr">
        <is>
          <t>Matildite</t>
        </is>
      </c>
      <c r="C313" s="17" t="n">
        <v>1.3</v>
      </c>
      <c r="D313" s="17" t="n">
        <v>10.2</v>
      </c>
      <c r="E313" s="20" t="n">
        <v>518</v>
      </c>
      <c r="F313" s="17" t="n">
        <v>27.2</v>
      </c>
      <c r="G313" s="17" t="n">
        <v>72.40000000000001</v>
      </c>
      <c r="H313" s="17" t="inlineStr">
        <is>
          <r>
            <rPr>
              <rFont val="Calibri"/>
              <sz val="11"/>
            </rPr>
            <t>AgBiS</t>
          </r>
          <r>
            <rPr>
              <rFont val="Calibri"/>
              <sz val="11"/>
              <vertAlign val="subscript"/>
            </rPr>
            <t>2</t>
          </r>
        </is>
      </c>
      <c r="I313" s="17" t="b">
        <v>0</v>
      </c>
      <c r="J313" s="17">
        <f>HYPERLINK("https://doi.org/10.1016/j.cej.2024.153328","Li (2024)")</f>
        <v/>
      </c>
      <c r="K313" s="17" t="b">
        <v>0</v>
      </c>
      <c r="L313" s="17" t="b">
        <v>0</v>
      </c>
      <c r="M313" s="17" t="n"/>
      <c r="N313" s="17" t="n"/>
    </row>
    <row r="314" ht="15" customFormat="1" customHeight="1" s="17">
      <c r="A314" s="17" t="n"/>
      <c r="B314" s="17" t="inlineStr">
        <is>
          <t>Matildite</t>
        </is>
      </c>
      <c r="C314" s="17" t="n">
        <v>1.25</v>
      </c>
      <c r="D314" s="17" t="n">
        <v>10.8</v>
      </c>
      <c r="E314" s="20" t="n">
        <v>511</v>
      </c>
      <c r="F314" s="17" t="n">
        <v>29.2</v>
      </c>
      <c r="G314" s="17" t="n">
        <v>72.8</v>
      </c>
      <c r="H314" s="17" t="inlineStr">
        <is>
          <r>
            <rPr>
              <rFont val="Calibri"/>
              <sz val="11"/>
            </rPr>
            <t>AgBiS</t>
          </r>
          <r>
            <rPr>
              <rFont val="Calibri"/>
              <sz val="11"/>
              <vertAlign val="subscript"/>
            </rPr>
            <t>2</t>
          </r>
        </is>
      </c>
      <c r="I314" s="17" t="b">
        <v>0</v>
      </c>
      <c r="J314" s="17">
        <f>HYPERLINK("https://doi.org/10.1039/D4EE03266G","Oh (2024)")</f>
        <v/>
      </c>
      <c r="K314" s="17" t="b">
        <v>0</v>
      </c>
      <c r="L314" s="17" t="b">
        <v>0</v>
      </c>
      <c r="M314" s="17" t="n"/>
      <c r="N314" s="17" t="n"/>
    </row>
    <row r="315" ht="15" customFormat="1" customHeight="1" s="17">
      <c r="A315" s="17" t="n"/>
      <c r="B315" s="17" t="inlineStr">
        <is>
          <t>Selenium</t>
        </is>
      </c>
      <c r="C315" s="17" t="n">
        <v>1.95</v>
      </c>
      <c r="D315" s="17" t="n">
        <v>5.8</v>
      </c>
      <c r="E315" s="20" t="n">
        <v>870</v>
      </c>
      <c r="F315" s="17" t="n">
        <v>10.8</v>
      </c>
      <c r="G315" s="17" t="n">
        <v>62.1</v>
      </c>
      <c r="H315" s="17" t="inlineStr">
        <is>
          <t>Se</t>
        </is>
      </c>
      <c r="I315" s="17" t="b">
        <v>0</v>
      </c>
      <c r="J315" s="17">
        <f>HYPERLINK("https://doi.org/10.1063/5.0155161","Liu (2023)")</f>
        <v/>
      </c>
      <c r="K315" s="17" t="b">
        <v>0</v>
      </c>
      <c r="L315" s="17" t="b">
        <v>0</v>
      </c>
      <c r="M315" s="17" t="n"/>
      <c r="N315" s="17" t="n"/>
    </row>
    <row r="316" ht="15" customFormat="1" customHeight="1" s="17">
      <c r="A316" s="17" t="n"/>
      <c r="B316" s="17" t="inlineStr">
        <is>
          <t>Selenium</t>
        </is>
      </c>
      <c r="C316" s="17" t="n">
        <v>1.97</v>
      </c>
      <c r="D316" s="17" t="n">
        <v>5.2</v>
      </c>
      <c r="E316" s="20" t="n">
        <v>991</v>
      </c>
      <c r="F316" s="17" t="n">
        <v>10</v>
      </c>
      <c r="G316" s="17" t="n">
        <v>52.4</v>
      </c>
      <c r="H316" s="17" t="inlineStr">
        <is>
          <t>Se</t>
        </is>
      </c>
      <c r="I316" s="17" t="b">
        <v>0</v>
      </c>
      <c r="J316" s="17">
        <f>HYPERLINK("https://doi.org/10.1039/D2TA07729A","Nielsen (2022)")</f>
        <v/>
      </c>
      <c r="K316" s="17" t="b">
        <v>0</v>
      </c>
      <c r="L316" s="17" t="b">
        <v>0</v>
      </c>
      <c r="M316" s="17" t="n"/>
      <c r="N316" s="17" t="n"/>
    </row>
    <row r="317" ht="15" customFormat="1" customHeight="1" s="17">
      <c r="A317" s="17" t="n"/>
      <c r="B317" s="17" t="inlineStr">
        <is>
          <t>Selenium</t>
        </is>
      </c>
      <c r="C317" s="17" t="n">
        <v>1.96</v>
      </c>
      <c r="D317" s="17" t="n">
        <v>8.1</v>
      </c>
      <c r="E317" s="20" t="n">
        <v>930</v>
      </c>
      <c r="F317" s="17" t="n">
        <v>14.4</v>
      </c>
      <c r="G317" s="17" t="n">
        <v>60.6</v>
      </c>
      <c r="H317" s="17" t="inlineStr">
        <is>
          <t>Se</t>
        </is>
      </c>
      <c r="I317" s="17" t="b">
        <v>0</v>
      </c>
      <c r="J317" s="17">
        <f>HYPERLINK("https://doi.org/10.1002/adma.202410835","Liu (2025)")</f>
        <v/>
      </c>
      <c r="K317" s="17" t="b">
        <v>0</v>
      </c>
      <c r="L317" s="17" t="b">
        <v>0</v>
      </c>
      <c r="M317" s="17" t="n"/>
      <c r="N317" s="17" t="n"/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2026-08-09T10:23:47Z</dcterms:created>
  <dcterms:modified xsi:type="dcterms:W3CDTF">2026-09-08T10:54:58Z</dcterms:modified>
  <cp:lastModifiedBy>Karen</cp:lastModifiedBy>
</cp:coreProperties>
</file>